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rminais\a\2023\PAVIMENTAÇÃO MARATÁ 2 MILHÕES\MARATÁ - CIDADE\"/>
    </mc:Choice>
  </mc:AlternateContent>
  <bookViews>
    <workbookView xWindow="0" yWindow="0" windowWidth="28800" windowHeight="12300"/>
  </bookViews>
  <sheets>
    <sheet name="Orçamento" sheetId="1" r:id="rId1"/>
    <sheet name="Composições" sheetId="2" r:id="rId2"/>
    <sheet name="Cotação" sheetId="3" r:id="rId3"/>
    <sheet name="Cronograma" sheetId="4" r:id="rId4"/>
  </sheets>
  <definedNames>
    <definedName name="EMPRESAS" hidden="1">OFFSET(Cotação!$B$31,1,0):OFFSET(Cotação!$H$34,-1,0)</definedName>
    <definedName name="INDICES" hidden="1">OFFSET(Cotação!$B$26,1,0):OFFSET(Cotação!$I$30,-1,0)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G27" i="1"/>
  <c r="J48" i="1" l="1"/>
  <c r="J49" i="1"/>
  <c r="J40" i="1"/>
  <c r="J42" i="1"/>
  <c r="J43" i="1"/>
  <c r="J44" i="1"/>
  <c r="J39" i="1"/>
  <c r="J28" i="1"/>
  <c r="J29" i="1"/>
  <c r="J30" i="1"/>
  <c r="J31" i="1"/>
  <c r="J33" i="1"/>
  <c r="J35" i="1"/>
  <c r="J36" i="1"/>
  <c r="J37" i="1"/>
  <c r="J27" i="1"/>
  <c r="J25" i="1"/>
  <c r="J23" i="1"/>
  <c r="J20" i="1"/>
  <c r="J21" i="1"/>
  <c r="J18" i="1"/>
  <c r="G44" i="1"/>
  <c r="G42" i="1"/>
  <c r="G41" i="1"/>
  <c r="G39" i="1"/>
  <c r="G47" i="1" l="1"/>
  <c r="K48" i="1"/>
  <c r="K49" i="1"/>
  <c r="K42" i="1"/>
  <c r="K44" i="1"/>
  <c r="K39" i="1"/>
  <c r="K25" i="1"/>
  <c r="K23" i="1"/>
  <c r="K19" i="1"/>
  <c r="K20" i="1"/>
  <c r="K18" i="1"/>
  <c r="K27" i="1" l="1"/>
  <c r="G46" i="1"/>
  <c r="G30" i="1"/>
  <c r="K30" i="1" s="1"/>
  <c r="G40" i="1"/>
  <c r="K40" i="1" s="1"/>
  <c r="G43" i="1" l="1"/>
  <c r="K43" i="1" s="1"/>
  <c r="G34" i="1"/>
  <c r="G32" i="1" l="1"/>
  <c r="L24" i="4"/>
  <c r="L22" i="4"/>
  <c r="L12" i="4"/>
  <c r="L14" i="4"/>
  <c r="L16" i="4"/>
  <c r="L18" i="4"/>
  <c r="L20" i="4"/>
  <c r="G33" i="1" l="1"/>
  <c r="K33" i="1" s="1"/>
  <c r="G35" i="1"/>
  <c r="K35" i="1" s="1"/>
  <c r="G36" i="1"/>
  <c r="G37" i="1" l="1"/>
  <c r="K37" i="1" s="1"/>
  <c r="K36" i="1"/>
  <c r="C46" i="1"/>
  <c r="D46" i="1"/>
  <c r="E46" i="1"/>
  <c r="F46" i="1"/>
  <c r="J53" i="2"/>
  <c r="J54" i="2"/>
  <c r="J55" i="2"/>
  <c r="J56" i="2"/>
  <c r="J57" i="2"/>
  <c r="J58" i="2"/>
  <c r="J86" i="2"/>
  <c r="J87" i="2"/>
  <c r="J88" i="2"/>
  <c r="J89" i="2"/>
  <c r="J90" i="2"/>
  <c r="J91" i="2"/>
  <c r="J92" i="2"/>
  <c r="J93" i="2"/>
  <c r="J85" i="2"/>
  <c r="J80" i="2"/>
  <c r="J79" i="2"/>
  <c r="G31" i="1"/>
  <c r="K31" i="1" s="1"/>
  <c r="G28" i="1"/>
  <c r="G21" i="1"/>
  <c r="K21" i="1" s="1"/>
  <c r="G29" i="1" l="1"/>
  <c r="K29" i="1" s="1"/>
  <c r="K28" i="1"/>
  <c r="G52" i="2"/>
  <c r="H41" i="1" s="1"/>
  <c r="J41" i="1" s="1"/>
  <c r="K41" i="1" s="1"/>
  <c r="G84" i="2"/>
  <c r="G82" i="2" s="1"/>
  <c r="J82" i="2" s="1"/>
  <c r="G78" i="2" s="1"/>
  <c r="H24" i="1" s="1"/>
  <c r="J24" i="1" s="1"/>
  <c r="K24" i="1" s="1"/>
  <c r="C24" i="4"/>
  <c r="C22" i="4"/>
  <c r="C20" i="4"/>
  <c r="C18" i="4"/>
  <c r="C16" i="4"/>
  <c r="C14" i="4"/>
  <c r="C12" i="4"/>
  <c r="D7" i="4"/>
  <c r="K38" i="1" l="1"/>
  <c r="D7" i="1"/>
  <c r="G4" i="2"/>
  <c r="D34" i="1" l="1"/>
  <c r="E34" i="1"/>
  <c r="F34" i="1"/>
  <c r="C34" i="1"/>
  <c r="D32" i="1"/>
  <c r="E32" i="1"/>
  <c r="F32" i="1"/>
  <c r="C32" i="1"/>
  <c r="J72" i="2"/>
  <c r="J73" i="2"/>
  <c r="J74" i="2"/>
  <c r="J75" i="2"/>
  <c r="J71" i="2"/>
  <c r="F9" i="3"/>
  <c r="G68" i="2" s="1"/>
  <c r="J68" i="2" s="1"/>
  <c r="F14" i="3"/>
  <c r="G76" i="2" s="1"/>
  <c r="J76" i="2" s="1"/>
  <c r="J62" i="2"/>
  <c r="J63" i="2"/>
  <c r="J64" i="2"/>
  <c r="J65" i="2"/>
  <c r="J66" i="2"/>
  <c r="J67" i="2"/>
  <c r="J61" i="2"/>
  <c r="K22" i="1"/>
  <c r="D22" i="4"/>
  <c r="D47" i="1"/>
  <c r="E47" i="1"/>
  <c r="F47" i="1"/>
  <c r="C47" i="1"/>
  <c r="J50" i="2"/>
  <c r="J49" i="2"/>
  <c r="J48" i="2"/>
  <c r="J47" i="2"/>
  <c r="J46" i="2"/>
  <c r="J45" i="2"/>
  <c r="J38" i="2"/>
  <c r="J39" i="2"/>
  <c r="J40" i="2"/>
  <c r="J41" i="2"/>
  <c r="J42" i="2"/>
  <c r="J37" i="2"/>
  <c r="J30" i="2"/>
  <c r="J31" i="2"/>
  <c r="J32" i="2"/>
  <c r="J33" i="2"/>
  <c r="J34" i="2"/>
  <c r="J29" i="2"/>
  <c r="D15" i="1"/>
  <c r="E15" i="1"/>
  <c r="F15" i="1"/>
  <c r="D16" i="1"/>
  <c r="E16" i="1"/>
  <c r="F16" i="1"/>
  <c r="C16" i="1"/>
  <c r="C15" i="1"/>
  <c r="J26" i="2"/>
  <c r="J25" i="2"/>
  <c r="J24" i="2"/>
  <c r="J23" i="2"/>
  <c r="J18" i="2"/>
  <c r="J19" i="2"/>
  <c r="J20" i="2"/>
  <c r="J17" i="2"/>
  <c r="J9" i="2"/>
  <c r="J10" i="2"/>
  <c r="J11" i="2"/>
  <c r="J12" i="2"/>
  <c r="J13" i="2"/>
  <c r="J14" i="2"/>
  <c r="J8" i="2"/>
  <c r="F13" i="1"/>
  <c r="D13" i="1"/>
  <c r="E13" i="1"/>
  <c r="C13" i="1"/>
  <c r="G22" i="4" l="1"/>
  <c r="I22" i="4"/>
  <c r="K22" i="4"/>
  <c r="G70" i="2"/>
  <c r="H34" i="1" s="1"/>
  <c r="J34" i="1" s="1"/>
  <c r="K34" i="1" s="1"/>
  <c r="K17" i="1"/>
  <c r="G16" i="2"/>
  <c r="G60" i="2"/>
  <c r="H32" i="1" s="1"/>
  <c r="J32" i="1" s="1"/>
  <c r="K32" i="1" s="1"/>
  <c r="G7" i="2"/>
  <c r="H13" i="1" s="1"/>
  <c r="J13" i="1" s="1"/>
  <c r="K12" i="1" s="1"/>
  <c r="G36" i="2"/>
  <c r="H46" i="1" s="1"/>
  <c r="J46" i="1" s="1"/>
  <c r="K46" i="1" s="1"/>
  <c r="G28" i="2"/>
  <c r="D18" i="4" s="1"/>
  <c r="G44" i="2"/>
  <c r="H47" i="1" s="1"/>
  <c r="J47" i="1" s="1"/>
  <c r="K47" i="1" s="1"/>
  <c r="G22" i="2"/>
  <c r="H16" i="1" s="1"/>
  <c r="J16" i="1" s="1"/>
  <c r="H15" i="1" l="1"/>
  <c r="J15" i="1" s="1"/>
  <c r="K15" i="1" s="1"/>
  <c r="D16" i="4"/>
  <c r="K16" i="4" s="1"/>
  <c r="K16" i="1"/>
  <c r="D12" i="4"/>
  <c r="K45" i="1"/>
  <c r="D24" i="4" s="1"/>
  <c r="M22" i="4"/>
  <c r="G18" i="4"/>
  <c r="I18" i="4"/>
  <c r="K18" i="4"/>
  <c r="K26" i="1"/>
  <c r="I16" i="4" l="1"/>
  <c r="G16" i="4"/>
  <c r="M16" i="4" s="1"/>
  <c r="K14" i="1"/>
  <c r="D14" i="4" s="1"/>
  <c r="I14" i="4" s="1"/>
  <c r="I12" i="4"/>
  <c r="G12" i="4"/>
  <c r="K12" i="4"/>
  <c r="M18" i="4"/>
  <c r="I24" i="4"/>
  <c r="G24" i="4"/>
  <c r="D20" i="4"/>
  <c r="K24" i="4"/>
  <c r="K11" i="1" l="1"/>
  <c r="D26" i="4" s="1"/>
  <c r="E24" i="4" s="1"/>
  <c r="M12" i="4"/>
  <c r="K14" i="4"/>
  <c r="G14" i="4"/>
  <c r="M24" i="4"/>
  <c r="K20" i="4"/>
  <c r="I20" i="4"/>
  <c r="I26" i="4" s="1"/>
  <c r="G20" i="4"/>
  <c r="H26" i="4" l="1"/>
  <c r="K26" i="4"/>
  <c r="J26" i="4" s="1"/>
  <c r="M14" i="4"/>
  <c r="G26" i="4"/>
  <c r="F26" i="4" s="1"/>
  <c r="E18" i="4"/>
  <c r="E20" i="4"/>
  <c r="E16" i="4"/>
  <c r="E12" i="4"/>
  <c r="E22" i="4"/>
  <c r="E14" i="4"/>
  <c r="K50" i="1"/>
  <c r="M20" i="4"/>
  <c r="M26" i="4" l="1"/>
  <c r="L26" i="4"/>
  <c r="E26" i="4"/>
</calcChain>
</file>

<file path=xl/sharedStrings.xml><?xml version="1.0" encoding="utf-8"?>
<sst xmlns="http://schemas.openxmlformats.org/spreadsheetml/2006/main" count="486" uniqueCount="207">
  <si>
    <t>Item</t>
  </si>
  <si>
    <t>Fonte</t>
  </si>
  <si>
    <t>Código</t>
  </si>
  <si>
    <t>Descrição</t>
  </si>
  <si>
    <t>Unidade</t>
  </si>
  <si>
    <t>Quantidade</t>
  </si>
  <si>
    <t>Custo Unitário (sem BDI)</t>
  </si>
  <si>
    <t>BDI</t>
  </si>
  <si>
    <t>Preço Unitário (com BDI)</t>
  </si>
  <si>
    <t>Preço Total</t>
  </si>
  <si>
    <t>1.</t>
  </si>
  <si>
    <t>1.1.</t>
  </si>
  <si>
    <t>1.1.1.</t>
  </si>
  <si>
    <t>1.2.</t>
  </si>
  <si>
    <t>1.2.1.</t>
  </si>
  <si>
    <t>1.2.2.</t>
  </si>
  <si>
    <t>1.3.</t>
  </si>
  <si>
    <t>1.3.1.</t>
  </si>
  <si>
    <t>1.3.2.</t>
  </si>
  <si>
    <t>1.3.3.</t>
  </si>
  <si>
    <t>1.3.4.</t>
  </si>
  <si>
    <t>1.4.</t>
  </si>
  <si>
    <t>1.4.1.</t>
  </si>
  <si>
    <t>1.4.2.</t>
  </si>
  <si>
    <t>1.4.3.</t>
  </si>
  <si>
    <t>1.5.</t>
  </si>
  <si>
    <t>1.5.1.</t>
  </si>
  <si>
    <t>1.5.2.</t>
  </si>
  <si>
    <t>1.5.3.</t>
  </si>
  <si>
    <t>1.5.5.</t>
  </si>
  <si>
    <t>1.5.6.</t>
  </si>
  <si>
    <t>1.5.8.</t>
  </si>
  <si>
    <t>1.6.</t>
  </si>
  <si>
    <t>1.6.1.</t>
  </si>
  <si>
    <t>1.7.</t>
  </si>
  <si>
    <t>1.7.1.</t>
  </si>
  <si>
    <t>1.7.2.</t>
  </si>
  <si>
    <t>1.5.10.</t>
  </si>
  <si>
    <t>SERVIÇOS INICIAIS</t>
  </si>
  <si>
    <t>MOVIMENTAÇÃO DE TERRA</t>
  </si>
  <si>
    <t>DRENAGEM</t>
  </si>
  <si>
    <t>PAVIMENTAÇÃO</t>
  </si>
  <si>
    <t>SINALIZAÇÃO</t>
  </si>
  <si>
    <t>COMPOSIÇÃO</t>
  </si>
  <si>
    <t>Placa de obra em aço galvanizado (1,20x2,50m)</t>
  </si>
  <si>
    <t>M²</t>
  </si>
  <si>
    <t>SICRO</t>
  </si>
  <si>
    <t>M1358</t>
  </si>
  <si>
    <t>Sarrafo em madeira de terceira - E = 2,5 cm e L = 5 cm</t>
  </si>
  <si>
    <t>M</t>
  </si>
  <si>
    <t>M0301</t>
  </si>
  <si>
    <t>Pontalete para escoramento - D = 10 cm</t>
  </si>
  <si>
    <t>SINAPI - I</t>
  </si>
  <si>
    <t xml:space="preserve">Placa de obra em chapa galvanizada N.22, adesivada, de 2,4 x 1,2 </t>
  </si>
  <si>
    <t>M1205</t>
  </si>
  <si>
    <t>Prego de ferro</t>
  </si>
  <si>
    <t>KG</t>
  </si>
  <si>
    <t>P9808</t>
  </si>
  <si>
    <t>Carpinteiro</t>
  </si>
  <si>
    <t>H</t>
  </si>
  <si>
    <t>P9824</t>
  </si>
  <si>
    <t>Servente</t>
  </si>
  <si>
    <t>Concreto magro - confecção em betoneira e lançamento manual - areia e brita comerciais</t>
  </si>
  <si>
    <t>M³</t>
  </si>
  <si>
    <t xml:space="preserve">COMPOSIÇÃO </t>
  </si>
  <si>
    <t>Mobilização</t>
  </si>
  <si>
    <t>Escavação, carga e transporte de material de 1ª categoria - DMT de 2.500 a 3.000 m - caminho de serviço em revestimentoprimário - com escavadeira e caminhão basculante de 14 m³</t>
  </si>
  <si>
    <t>SINAPI</t>
  </si>
  <si>
    <t>Transporte de veículos pesados com guincho de resgate de 35 t - rodovia em revestimento primário</t>
  </si>
  <si>
    <t>UND</t>
  </si>
  <si>
    <t>Desmobilização</t>
  </si>
  <si>
    <t>Espalhamento de material em bota-fora</t>
  </si>
  <si>
    <t>Compactação de aterros a 100% do Proctor intermediário</t>
  </si>
  <si>
    <t xml:space="preserve">Escavação, carga e transporte de material de 1ª categoria - DMT de 800 a 1.000 m - caminho de serviço em leito natural </t>
  </si>
  <si>
    <t>M2163</t>
  </si>
  <si>
    <t>Assentamento de tubo de concreto simples Ø400mm, fornecimento e instalação</t>
  </si>
  <si>
    <t>Tubo de concreto armado PA1 - D = 0,40 m</t>
  </si>
  <si>
    <t>Argamassa de cimento e areia 1:3 - confecção em betoneira e lançamento manual - areia comercial</t>
  </si>
  <si>
    <t>Escavadeira hidráulica sobre esteira, caçãmba 0,80m³, peso operacional 17T</t>
  </si>
  <si>
    <t>CHP</t>
  </si>
  <si>
    <t>CHI</t>
  </si>
  <si>
    <t>Assentador de tubos com encargos complementares</t>
  </si>
  <si>
    <t>TXKM</t>
  </si>
  <si>
    <t>Regularização do subleito</t>
  </si>
  <si>
    <t>1.5.11.</t>
  </si>
  <si>
    <t>Transporte com caminhão basculante com caçamba estanque com capacidade de 14 m³ - rodovia pavimentada</t>
  </si>
  <si>
    <t>Transporte de material betuminoso com caminhão tanque distribuidor - rodovia pavimentada</t>
  </si>
  <si>
    <t>M0035</t>
  </si>
  <si>
    <t>Diluente tipo aguarrás para tintas e vernizes</t>
  </si>
  <si>
    <t>L</t>
  </si>
  <si>
    <t>Pintura de faixa horizontal amarela - 10cm</t>
  </si>
  <si>
    <t>M2044</t>
  </si>
  <si>
    <t>Tinta à base de resina acrílica emulsionada em água para pré-marcação viária</t>
  </si>
  <si>
    <t>M2037</t>
  </si>
  <si>
    <t>M2038</t>
  </si>
  <si>
    <t>Microesferas refletivas de vidro tipo I-B</t>
  </si>
  <si>
    <t>Microesferas refletivas de vidro tipo II-A</t>
  </si>
  <si>
    <t>Pintor</t>
  </si>
  <si>
    <t>P9822</t>
  </si>
  <si>
    <t>Pintura de faixa horizontal branca - 12cm</t>
  </si>
  <si>
    <t>Imprimação com asfalto diluído tipo CM 30 - taxa de 1,2 l/m²</t>
  </si>
  <si>
    <t>E9544</t>
  </si>
  <si>
    <t>E9577</t>
  </si>
  <si>
    <t>Trator agrícola sobre pneus - 77 kW - Produtivo</t>
  </si>
  <si>
    <t>Trator agrícola sobre pneus - 77 Kw - Improdutivo</t>
  </si>
  <si>
    <t xml:space="preserve">Espargidor de asfalto pressurizado, tanque com 6m³ com isolação térmica, aquecido </t>
  </si>
  <si>
    <t>COTAÇÃO</t>
  </si>
  <si>
    <t>FONTE</t>
  </si>
  <si>
    <t>CÓDIGO</t>
  </si>
  <si>
    <t>DESCRIÇÃO</t>
  </si>
  <si>
    <t>UNIDADE</t>
  </si>
  <si>
    <t>MEDIANA</t>
  </si>
  <si>
    <t>01</t>
  </si>
  <si>
    <t>ASFALTO DILUÍDO CM-30</t>
  </si>
  <si>
    <t>EMPRESA</t>
  </si>
  <si>
    <t>NOME DA EMPRESA</t>
  </si>
  <si>
    <t>COTAÇÕES</t>
  </si>
  <si>
    <t>CASA DO ASFALTO</t>
  </si>
  <si>
    <t>ANP - AGÊNCIA NACIONAL PETRÓLEO</t>
  </si>
  <si>
    <t>CNPJ</t>
  </si>
  <si>
    <t>06.218.782/0001-16</t>
  </si>
  <si>
    <t>Asfalto Diluído CM-30</t>
  </si>
  <si>
    <t>Pintura de ligação com emulsão RR-2C - taxa = 0,50 L/m²</t>
  </si>
  <si>
    <t>02</t>
  </si>
  <si>
    <t>EMULSÃO ASFÁLTICA RR-2C</t>
  </si>
  <si>
    <t>Emulsão Asfáltica RR-2C</t>
  </si>
  <si>
    <t>Camada de concreto asfáltico usinado à quente (e=5cm)</t>
  </si>
  <si>
    <t>KM</t>
  </si>
  <si>
    <t>COMPOSIÇÃO DE CUSTOS</t>
  </si>
  <si>
    <t xml:space="preserve">Data: </t>
  </si>
  <si>
    <t>TOTAL:</t>
  </si>
  <si>
    <t>PLANILHA ORÇAMENTÁRIA</t>
  </si>
  <si>
    <t>Município:</t>
  </si>
  <si>
    <t>Projeto:</t>
  </si>
  <si>
    <t>Referência de preço:</t>
  </si>
  <si>
    <t>Data:</t>
  </si>
  <si>
    <t xml:space="preserve">BDI: </t>
  </si>
  <si>
    <t>CRONOGRAMA FISICO - FINANCEIRO - GLOBAL</t>
  </si>
  <si>
    <t>ITEM</t>
  </si>
  <si>
    <t>DISCRIMINAÇÃO DOS SERVIÇOS</t>
  </si>
  <si>
    <t>VALOR DOS SERVIÇOS</t>
  </si>
  <si>
    <t>PESO</t>
  </si>
  <si>
    <t>MÊS 01</t>
  </si>
  <si>
    <t>MÊS 02</t>
  </si>
  <si>
    <t>TOTAL</t>
  </si>
  <si>
    <t>FISICO (%)</t>
  </si>
  <si>
    <t>FINANC.</t>
  </si>
  <si>
    <t>1 )</t>
  </si>
  <si>
    <t xml:space="preserve">RECURSOS </t>
  </si>
  <si>
    <t xml:space="preserve">DO </t>
  </si>
  <si>
    <t>PROGRAMA</t>
  </si>
  <si>
    <t>TOTAL FINANCEIRO</t>
  </si>
  <si>
    <t>ONDULAÇÃO TRANSVERSAL</t>
  </si>
  <si>
    <t>envelopamento de sarjeta (entrada) em concreto armado e=12 cm</t>
  </si>
  <si>
    <t xml:space="preserve">Tubo de concreto simples para redes coletoras de águas pluviais, diâmetro de 300mm, junta rígida, fornecimento e assentamento </t>
  </si>
  <si>
    <t>Execução de piso de concreto moldado in loco, feito em obra, acabamento convencional e= 12 cm</t>
  </si>
  <si>
    <t>SINAPI-I</t>
  </si>
  <si>
    <t>Desmoldante protetor para fôrmas de madeira, de base oleosa emulsionada em água</t>
  </si>
  <si>
    <t>Sarrafo *2,5 x 7,5* cm em pinus, mista ou equivalente da região- bruta</t>
  </si>
  <si>
    <t>Sarrafo *2,5 x 10 * cm em pinus, mista ou equivalente da região- bruta</t>
  </si>
  <si>
    <t>Tela de aço soldada, CA-60, Q-196, (3,11KG/ M2), diâmetro do fio = 5,0 mm, largura= 2,45m, espaçamento da malha = 10x10 cm</t>
  </si>
  <si>
    <t>M2</t>
  </si>
  <si>
    <t xml:space="preserve">SINAPI </t>
  </si>
  <si>
    <t>Concreto fck = 20Mpa, traço 1:2:3:7 ( em massa seca/cimento/ areia média/ brita 1)</t>
  </si>
  <si>
    <t>P9821</t>
  </si>
  <si>
    <t xml:space="preserve">Pedreiro </t>
  </si>
  <si>
    <t xml:space="preserve">Servente </t>
  </si>
  <si>
    <t>MOBILIZAÇÃO E DESMOBILIZAÇÃO</t>
  </si>
  <si>
    <t>1.5.13.</t>
  </si>
  <si>
    <t>Pintura de faixa horizontal amarela - 40cm</t>
  </si>
  <si>
    <t>Pintura de faixa horizontal amarela- 40 cm</t>
  </si>
  <si>
    <t>Placa de regulamentação em aço D = 0,60 m - película retrorrefletiva tipo I + SI - fornecimento e implantação</t>
  </si>
  <si>
    <t>1.7.4.</t>
  </si>
  <si>
    <t>1.7.5.</t>
  </si>
  <si>
    <t>1.5.14.</t>
  </si>
  <si>
    <t>1.5.15</t>
  </si>
  <si>
    <t>1.6.3.</t>
  </si>
  <si>
    <t>1.6.4.</t>
  </si>
  <si>
    <t>1.6.5.</t>
  </si>
  <si>
    <t>1.6.6.</t>
  </si>
  <si>
    <t>1.6.7.</t>
  </si>
  <si>
    <t>Prego de Ferro</t>
  </si>
  <si>
    <t>MÊS 03</t>
  </si>
  <si>
    <t>São Domingos/SC</t>
  </si>
  <si>
    <t>Responsável técnico: Eng. Civil Fernanda Zardinello Macedo</t>
  </si>
  <si>
    <t>CREA/SC: 152.491-4</t>
  </si>
  <si>
    <t>Município de São Domingos</t>
  </si>
  <si>
    <t>CNPJ: 83.009.894-0001-08</t>
  </si>
  <si>
    <t>CNPJ:83.009.894-0001-08</t>
  </si>
  <si>
    <t>Município de São Domingos:</t>
  </si>
  <si>
    <t>CREA/SC: 152491-4</t>
  </si>
  <si>
    <t>Pavimentação de via rural</t>
  </si>
  <si>
    <t xml:space="preserve">PAVIMENTAÇÃO ASFÁLTICA SOBRE RACHÃO </t>
  </si>
  <si>
    <t>Sarjeta triangular de concreto - STC 73-15 - escavação mecânica - areia e brita comerciais</t>
  </si>
  <si>
    <t>Boca de lobo simples - BLS 02 - areia e brita comerciais</t>
  </si>
  <si>
    <t>Base ou sub-base de macadame seco com brita comercial e= 15cm</t>
  </si>
  <si>
    <t>Base ou sub-base de brita graduada executada com vibroacabadora - brita comercial</t>
  </si>
  <si>
    <t>Suporte metálico galvanizado para placa de regulamentação - R1 - lado de 0,248 m - fornecimento e implantação</t>
  </si>
  <si>
    <t xml:space="preserve">Vassoura mecânica rebocável com largura de 2,44 m </t>
  </si>
  <si>
    <t>Vassoura mecânica rebocável com largura de 2,44 m - improdutivo</t>
  </si>
  <si>
    <t>São Domingos (SC)</t>
  </si>
  <si>
    <t>Pavimentação Asfáltica na Zona Rural do Município de São Domingos (SC)</t>
  </si>
  <si>
    <t>Responsável Técnico: Eng. Civil Fernanda Zardinello Macedo</t>
  </si>
  <si>
    <t>COTAÇÃO DE CUSTOS</t>
  </si>
  <si>
    <t>SICRO (04/2023) e SINAPI (06/2023)</t>
  </si>
  <si>
    <t>ART nº 8906223-1</t>
  </si>
  <si>
    <t>SICRO (07/2023) e SINAPI (10/2023)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</si>
</sst>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&quot;R$&quot;* #,##0.00_-;\-&quot;R$&quot;* #,##0.00_-;_-&quot;R$&quot;* &quot;-&quot;??_-;_-@_-"/>
    <numFmt numFmtId="165" formatCode="_-* #,##0.00_-;\-* #,##0.00_-;_-* \-??_-;_-@_-"/>
    <numFmt numFmtId="166" formatCode="_(* #,##0.00_);_(* \(#,##0.00\);_(* \-??_);_(@_)"/>
    <numFmt numFmtId="167" formatCode="_-&quot;R$ &quot;* #,##0.00_-;&quot;-R$ &quot;* #,##0.00_-;_-&quot;R$ &quot;* \-??_-;_-@_-"/>
    <numFmt numFmtId="168" formatCode="_(* #,##0.00_);_(* \(#,##0.00\);_(* &quot;-&quot;??_);_(@_)"/>
    <numFmt numFmtId="169" formatCode="_(\ #,##0.00_);_(\ \(#,##0.00\);_(\ &quot;-&quot;??_);_(@_)"/>
    <numFmt numFmtId="170" formatCode="_(&quot;R$ &quot;* #,##0.00_);_(&quot;R$ &quot;* \(#,##0.00\);_(&quot;R$ &quot;* &quot;-&quot;??_);_(@_)"/>
    <numFmt numFmtId="171" formatCode="_(&quot;R$&quot;\ * #,##0.00_);_(&quot;R$&quot;\ * \(#,##0.00\);_(&quot;R$&quot;\ * &quot;-&quot;??_);_(@_)"/>
    <numFmt numFmtId="172" formatCode="_-&quot;R$&quot;* #,##0.000_-;\-&quot;R$&quot;* #,##0.000_-;_-&quot;R$&quot;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42"/>
      </patternFill>
    </fill>
    <fill>
      <patternFill patternType="solid">
        <fgColor indexed="4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22"/>
        <bgColor indexed="4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9"/>
        <bgColor indexed="41"/>
      </patternFill>
    </fill>
    <fill>
      <patternFill patternType="solid">
        <fgColor indexed="55"/>
        <bgColor indexed="4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23"/>
        <b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2" borderId="0" applyNumberFormat="0" applyBorder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11" fillId="3" borderId="1" applyNumberFormat="0" applyAlignment="0" applyProtection="0"/>
    <xf numFmtId="167" fontId="4" fillId="0" borderId="0" applyFill="0" applyBorder="0" applyAlignment="0" applyProtection="0"/>
    <xf numFmtId="0" fontId="4" fillId="0" borderId="0"/>
    <xf numFmtId="0" fontId="5" fillId="0" borderId="0"/>
    <xf numFmtId="0" fontId="4" fillId="5" borderId="4" applyNumberFormat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12" fillId="11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166" fontId="4" fillId="0" borderId="0" applyFill="0" applyBorder="0" applyAlignment="0" applyProtection="0"/>
    <xf numFmtId="165" fontId="4" fillId="0" borderId="0" applyFill="0" applyBorder="0" applyAlignment="0" applyProtection="0"/>
    <xf numFmtId="0" fontId="1" fillId="0" borderId="0"/>
    <xf numFmtId="0" fontId="1" fillId="0" borderId="0"/>
    <xf numFmtId="168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1" fillId="0" borderId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29">
    <xf numFmtId="0" fontId="0" fillId="0" borderId="0" xfId="0"/>
    <xf numFmtId="164" fontId="0" fillId="0" borderId="0" xfId="1" applyFont="1"/>
    <xf numFmtId="9" fontId="0" fillId="0" borderId="0" xfId="2" applyFont="1"/>
    <xf numFmtId="9" fontId="0" fillId="0" borderId="10" xfId="2" applyFont="1" applyBorder="1"/>
    <xf numFmtId="164" fontId="0" fillId="0" borderId="10" xfId="1" applyFont="1" applyBorder="1"/>
    <xf numFmtId="164" fontId="2" fillId="19" borderId="10" xfId="1" applyFont="1" applyFill="1" applyBorder="1"/>
    <xf numFmtId="164" fontId="2" fillId="17" borderId="10" xfId="1" applyFont="1" applyFill="1" applyBorder="1"/>
    <xf numFmtId="0" fontId="2" fillId="19" borderId="10" xfId="0" applyFont="1" applyFill="1" applyBorder="1"/>
    <xf numFmtId="9" fontId="2" fillId="19" borderId="10" xfId="2" applyFont="1" applyFill="1" applyBorder="1"/>
    <xf numFmtId="0" fontId="2" fillId="17" borderId="10" xfId="0" applyFont="1" applyFill="1" applyBorder="1"/>
    <xf numFmtId="9" fontId="2" fillId="17" borderId="10" xfId="2" applyFont="1" applyFill="1" applyBorder="1"/>
    <xf numFmtId="0" fontId="2" fillId="0" borderId="0" xfId="0" applyFont="1"/>
    <xf numFmtId="2" fontId="2" fillId="17" borderId="10" xfId="0" applyNumberFormat="1" applyFont="1" applyFill="1" applyBorder="1"/>
    <xf numFmtId="0" fontId="21" fillId="20" borderId="10" xfId="34" applyFont="1" applyFill="1" applyBorder="1" applyAlignment="1" applyProtection="1">
      <alignment horizontal="left" vertical="center" wrapText="1"/>
      <protection locked="0"/>
    </xf>
    <xf numFmtId="0" fontId="21" fillId="18" borderId="10" xfId="34" applyFont="1" applyFill="1" applyBorder="1" applyAlignment="1" applyProtection="1">
      <alignment horizontal="left" vertical="center" wrapText="1"/>
      <protection locked="0"/>
    </xf>
    <xf numFmtId="164" fontId="3" fillId="0" borderId="0" xfId="1" applyFont="1"/>
    <xf numFmtId="164" fontId="0" fillId="0" borderId="15" xfId="1" applyFont="1" applyBorder="1"/>
    <xf numFmtId="164" fontId="0" fillId="0" borderId="18" xfId="1" applyFont="1" applyBorder="1"/>
    <xf numFmtId="0" fontId="20" fillId="17" borderId="10" xfId="0" applyFont="1" applyFill="1" applyBorder="1" applyAlignment="1">
      <alignment horizontal="center"/>
    </xf>
    <xf numFmtId="0" fontId="25" fillId="17" borderId="10" xfId="0" applyFont="1" applyFill="1" applyBorder="1" applyAlignment="1">
      <alignment horizontal="center"/>
    </xf>
    <xf numFmtId="0" fontId="25" fillId="0" borderId="10" xfId="0" applyFont="1" applyBorder="1"/>
    <xf numFmtId="0" fontId="25" fillId="0" borderId="10" xfId="0" applyFont="1" applyBorder="1" applyAlignment="1">
      <alignment horizontal="center"/>
    </xf>
    <xf numFmtId="0" fontId="20" fillId="17" borderId="10" xfId="0" applyFont="1" applyFill="1" applyBorder="1"/>
    <xf numFmtId="0" fontId="26" fillId="0" borderId="10" xfId="0" applyFont="1" applyBorder="1"/>
    <xf numFmtId="0" fontId="20" fillId="17" borderId="28" xfId="0" applyFont="1" applyFill="1" applyBorder="1" applyAlignment="1">
      <alignment horizontal="center"/>
    </xf>
    <xf numFmtId="164" fontId="20" fillId="17" borderId="29" xfId="1" applyFont="1" applyFill="1" applyBorder="1" applyAlignment="1">
      <alignment horizontal="center"/>
    </xf>
    <xf numFmtId="0" fontId="25" fillId="17" borderId="28" xfId="0" applyFont="1" applyFill="1" applyBorder="1" applyAlignment="1">
      <alignment horizontal="center"/>
    </xf>
    <xf numFmtId="164" fontId="25" fillId="0" borderId="29" xfId="1" applyFont="1" applyBorder="1" applyAlignment="1">
      <alignment horizontal="center"/>
    </xf>
    <xf numFmtId="0" fontId="25" fillId="0" borderId="14" xfId="0" applyFont="1" applyBorder="1"/>
    <xf numFmtId="0" fontId="25" fillId="0" borderId="0" xfId="0" applyFont="1"/>
    <xf numFmtId="164" fontId="25" fillId="0" borderId="15" xfId="1" applyFont="1" applyBorder="1"/>
    <xf numFmtId="164" fontId="20" fillId="17" borderId="29" xfId="1" applyFont="1" applyFill="1" applyBorder="1"/>
    <xf numFmtId="164" fontId="25" fillId="0" borderId="29" xfId="1" applyFont="1" applyBorder="1"/>
    <xf numFmtId="0" fontId="25" fillId="0" borderId="0" xfId="0" applyFont="1" applyAlignment="1">
      <alignment horizontal="center"/>
    </xf>
    <xf numFmtId="164" fontId="25" fillId="0" borderId="29" xfId="1" applyFont="1" applyFill="1" applyBorder="1" applyAlignment="1">
      <alignment horizontal="center"/>
    </xf>
    <xf numFmtId="0" fontId="26" fillId="0" borderId="0" xfId="0" applyFont="1"/>
    <xf numFmtId="164" fontId="25" fillId="0" borderId="0" xfId="1" applyFont="1" applyBorder="1" applyAlignment="1"/>
    <xf numFmtId="0" fontId="25" fillId="0" borderId="17" xfId="0" applyFont="1" applyBorder="1"/>
    <xf numFmtId="0" fontId="25" fillId="0" borderId="14" xfId="0" applyFont="1" applyBorder="1" applyAlignment="1">
      <alignment vertical="center"/>
    </xf>
    <xf numFmtId="164" fontId="25" fillId="0" borderId="0" xfId="1" applyFont="1" applyBorder="1" applyAlignment="1">
      <alignment vertical="center"/>
    </xf>
    <xf numFmtId="164" fontId="25" fillId="0" borderId="17" xfId="1" applyFont="1" applyBorder="1" applyAlignment="1">
      <alignment horizontal="center" vertical="center"/>
    </xf>
    <xf numFmtId="164" fontId="25" fillId="0" borderId="17" xfId="1" applyFont="1" applyBorder="1" applyAlignment="1">
      <alignment vertical="center"/>
    </xf>
    <xf numFmtId="14" fontId="25" fillId="0" borderId="18" xfId="1" applyNumberFormat="1" applyFont="1" applyBorder="1" applyAlignment="1">
      <alignment vertical="center"/>
    </xf>
    <xf numFmtId="164" fontId="25" fillId="0" borderId="0" xfId="1" applyFont="1" applyBorder="1" applyAlignment="1">
      <alignment horizontal="center" vertical="center"/>
    </xf>
    <xf numFmtId="9" fontId="27" fillId="0" borderId="0" xfId="2" applyFont="1" applyBorder="1" applyAlignment="1">
      <alignment horizontal="left" vertical="center"/>
    </xf>
    <xf numFmtId="164" fontId="25" fillId="0" borderId="0" xfId="1" applyFont="1" applyBorder="1" applyAlignment="1">
      <alignment horizontal="center"/>
    </xf>
    <xf numFmtId="9" fontId="25" fillId="0" borderId="0" xfId="2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9" fontId="20" fillId="0" borderId="33" xfId="2" applyFont="1" applyBorder="1" applyAlignment="1">
      <alignment horizontal="center" vertical="center"/>
    </xf>
    <xf numFmtId="164" fontId="20" fillId="0" borderId="34" xfId="1" applyFont="1" applyBorder="1" applyAlignment="1">
      <alignment horizontal="center" vertical="center"/>
    </xf>
    <xf numFmtId="14" fontId="25" fillId="0" borderId="15" xfId="1" applyNumberFormat="1" applyFont="1" applyBorder="1" applyAlignment="1">
      <alignment vertical="center"/>
    </xf>
    <xf numFmtId="9" fontId="27" fillId="0" borderId="17" xfId="2" applyFont="1" applyBorder="1" applyAlignment="1">
      <alignment horizontal="left" vertical="center"/>
    </xf>
    <xf numFmtId="14" fontId="25" fillId="0" borderId="15" xfId="1" applyNumberFormat="1" applyFont="1" applyBorder="1" applyAlignment="1"/>
    <xf numFmtId="0" fontId="21" fillId="19" borderId="28" xfId="34" applyFont="1" applyFill="1" applyBorder="1" applyAlignment="1">
      <alignment vertical="center" wrapText="1" shrinkToFit="1"/>
    </xf>
    <xf numFmtId="164" fontId="2" fillId="19" borderId="29" xfId="1" applyFont="1" applyFill="1" applyBorder="1"/>
    <xf numFmtId="0" fontId="21" fillId="17" borderId="28" xfId="34" applyFont="1" applyFill="1" applyBorder="1" applyAlignment="1">
      <alignment vertical="center" wrapText="1" shrinkToFit="1"/>
    </xf>
    <xf numFmtId="164" fontId="2" fillId="17" borderId="29" xfId="1" applyFont="1" applyFill="1" applyBorder="1"/>
    <xf numFmtId="0" fontId="22" fillId="0" borderId="28" xfId="34" applyFont="1" applyBorder="1" applyAlignment="1">
      <alignment vertical="center" wrapText="1" shrinkToFit="1"/>
    </xf>
    <xf numFmtId="164" fontId="0" fillId="0" borderId="29" xfId="1" applyFont="1" applyBorder="1"/>
    <xf numFmtId="164" fontId="0" fillId="0" borderId="0" xfId="1" applyFont="1" applyBorder="1"/>
    <xf numFmtId="164" fontId="0" fillId="0" borderId="17" xfId="1" applyFont="1" applyBorder="1"/>
    <xf numFmtId="164" fontId="28" fillId="21" borderId="14" xfId="1" applyFont="1" applyFill="1" applyBorder="1" applyAlignment="1">
      <alignment horizontal="center" vertical="center" wrapText="1"/>
    </xf>
    <xf numFmtId="164" fontId="28" fillId="21" borderId="0" xfId="1" applyFont="1" applyFill="1" applyBorder="1" applyAlignment="1">
      <alignment horizontal="center" vertical="center" wrapText="1"/>
    </xf>
    <xf numFmtId="164" fontId="20" fillId="21" borderId="15" xfId="1" applyFont="1" applyFill="1" applyBorder="1" applyAlignment="1">
      <alignment horizontal="center" vertical="center" wrapText="1"/>
    </xf>
    <xf numFmtId="49" fontId="29" fillId="17" borderId="10" xfId="34" applyNumberFormat="1" applyFont="1" applyFill="1" applyBorder="1" applyAlignment="1" applyProtection="1">
      <alignment horizontal="center" wrapText="1"/>
      <protection locked="0"/>
    </xf>
    <xf numFmtId="0" fontId="2" fillId="17" borderId="10" xfId="0" applyFont="1" applyFill="1" applyBorder="1" applyAlignment="1">
      <alignment horizontal="center"/>
    </xf>
    <xf numFmtId="49" fontId="29" fillId="17" borderId="10" xfId="34" applyNumberFormat="1" applyFont="1" applyFill="1" applyBorder="1" applyAlignment="1" applyProtection="1">
      <alignment wrapText="1"/>
      <protection locked="0"/>
    </xf>
    <xf numFmtId="49" fontId="29" fillId="17" borderId="10" xfId="34" quotePrefix="1" applyNumberFormat="1" applyFont="1" applyFill="1" applyBorder="1" applyAlignment="1" applyProtection="1">
      <alignment horizontal="center" wrapText="1"/>
      <protection locked="0"/>
    </xf>
    <xf numFmtId="0" fontId="29" fillId="0" borderId="10" xfId="34" applyFont="1" applyBorder="1"/>
    <xf numFmtId="0" fontId="29" fillId="0" borderId="28" xfId="34" applyFont="1" applyBorder="1" applyAlignment="1">
      <alignment horizontal="center"/>
    </xf>
    <xf numFmtId="0" fontId="30" fillId="0" borderId="14" xfId="34" applyFont="1" applyBorder="1"/>
    <xf numFmtId="0" fontId="30" fillId="0" borderId="14" xfId="0" applyFont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9" fontId="25" fillId="0" borderId="0" xfId="0" applyNumberFormat="1" applyFont="1" applyAlignment="1">
      <alignment horizontal="left"/>
    </xf>
    <xf numFmtId="14" fontId="25" fillId="0" borderId="17" xfId="0" applyNumberFormat="1" applyFont="1" applyBorder="1" applyAlignment="1">
      <alignment horizontal="left"/>
    </xf>
    <xf numFmtId="0" fontId="25" fillId="0" borderId="22" xfId="0" applyFont="1" applyBorder="1" applyAlignment="1">
      <alignment horizontal="center" vertical="center"/>
    </xf>
    <xf numFmtId="49" fontId="30" fillId="17" borderId="10" xfId="34" applyNumberFormat="1" applyFont="1" applyFill="1" applyBorder="1" applyAlignment="1" applyProtection="1">
      <alignment horizontal="center" wrapText="1"/>
      <protection locked="0"/>
    </xf>
    <xf numFmtId="0" fontId="25" fillId="21" borderId="0" xfId="0" applyFont="1" applyFill="1" applyAlignment="1">
      <alignment horizontal="center"/>
    </xf>
    <xf numFmtId="0" fontId="25" fillId="21" borderId="14" xfId="0" applyFont="1" applyFill="1" applyBorder="1" applyAlignment="1">
      <alignment horizontal="center"/>
    </xf>
    <xf numFmtId="164" fontId="25" fillId="0" borderId="15" xfId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72" fontId="0" fillId="0" borderId="29" xfId="1" applyNumberFormat="1" applyFont="1" applyBorder="1"/>
    <xf numFmtId="0" fontId="30" fillId="0" borderId="10" xfId="34" applyFont="1" applyBorder="1" applyAlignment="1">
      <alignment horizontal="center"/>
    </xf>
    <xf numFmtId="0" fontId="29" fillId="0" borderId="10" xfId="34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64" fontId="20" fillId="0" borderId="33" xfId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9" fontId="25" fillId="0" borderId="0" xfId="0" applyNumberFormat="1" applyFont="1" applyBorder="1" applyAlignment="1">
      <alignment horizontal="left"/>
    </xf>
    <xf numFmtId="0" fontId="25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2" fontId="0" fillId="0" borderId="10" xfId="0" applyNumberFormat="1" applyFont="1" applyBorder="1"/>
    <xf numFmtId="2" fontId="0" fillId="0" borderId="0" xfId="0" applyNumberFormat="1" applyFont="1"/>
    <xf numFmtId="0" fontId="0" fillId="0" borderId="14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33" fillId="0" borderId="10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0" fillId="0" borderId="49" xfId="0" applyFont="1" applyBorder="1"/>
    <xf numFmtId="0" fontId="0" fillId="0" borderId="40" xfId="0" applyFont="1" applyBorder="1"/>
    <xf numFmtId="0" fontId="34" fillId="0" borderId="50" xfId="0" applyFont="1" applyBorder="1"/>
    <xf numFmtId="2" fontId="35" fillId="0" borderId="41" xfId="54" applyNumberFormat="1" applyFont="1" applyBorder="1"/>
    <xf numFmtId="171" fontId="33" fillId="0" borderId="10" xfId="53" applyNumberFormat="1" applyFont="1" applyBorder="1"/>
    <xf numFmtId="10" fontId="33" fillId="0" borderId="10" xfId="55" applyNumberFormat="1" applyFont="1" applyBorder="1"/>
    <xf numFmtId="171" fontId="22" fillId="0" borderId="10" xfId="53" applyNumberFormat="1" applyFont="1" applyBorder="1"/>
    <xf numFmtId="171" fontId="33" fillId="0" borderId="29" xfId="53" applyNumberFormat="1" applyFont="1" applyBorder="1"/>
    <xf numFmtId="0" fontId="34" fillId="0" borderId="50" xfId="0" applyFont="1" applyBorder="1" applyAlignment="1">
      <alignment horizontal="center"/>
    </xf>
    <xf numFmtId="171" fontId="36" fillId="0" borderId="10" xfId="53" applyNumberFormat="1" applyFont="1" applyBorder="1"/>
    <xf numFmtId="10" fontId="36" fillId="0" borderId="10" xfId="55" applyNumberFormat="1" applyFont="1" applyBorder="1"/>
    <xf numFmtId="0" fontId="0" fillId="0" borderId="28" xfId="0" applyFont="1" applyBorder="1"/>
    <xf numFmtId="170" fontId="36" fillId="0" borderId="10" xfId="53" applyFont="1" applyBorder="1"/>
    <xf numFmtId="170" fontId="21" fillId="0" borderId="10" xfId="53" applyFont="1" applyBorder="1"/>
    <xf numFmtId="10" fontId="21" fillId="0" borderId="10" xfId="55" applyNumberFormat="1" applyFont="1" applyBorder="1"/>
    <xf numFmtId="171" fontId="21" fillId="0" borderId="10" xfId="53" applyNumberFormat="1" applyFont="1" applyBorder="1"/>
    <xf numFmtId="171" fontId="37" fillId="0" borderId="29" xfId="53" applyNumberFormat="1" applyFont="1" applyBorder="1"/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164" fontId="0" fillId="0" borderId="10" xfId="1" applyFont="1" applyBorder="1" applyAlignment="1">
      <alignment vertical="center"/>
    </xf>
    <xf numFmtId="9" fontId="0" fillId="0" borderId="10" xfId="2" applyFont="1" applyBorder="1" applyAlignment="1">
      <alignment vertical="center"/>
    </xf>
    <xf numFmtId="164" fontId="0" fillId="0" borderId="29" xfId="1" applyFont="1" applyBorder="1" applyAlignment="1">
      <alignment vertical="center"/>
    </xf>
    <xf numFmtId="0" fontId="25" fillId="0" borderId="51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8" fillId="17" borderId="35" xfId="0" applyFont="1" applyFill="1" applyBorder="1" applyAlignment="1">
      <alignment horizontal="center" vertical="center"/>
    </xf>
    <xf numFmtId="0" fontId="28" fillId="17" borderId="36" xfId="0" applyFont="1" applyFill="1" applyBorder="1" applyAlignment="1">
      <alignment horizontal="center" vertical="center"/>
    </xf>
    <xf numFmtId="0" fontId="28" fillId="17" borderId="37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25" fillId="0" borderId="16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164" fontId="28" fillId="17" borderId="11" xfId="1" applyFont="1" applyFill="1" applyBorder="1" applyAlignment="1">
      <alignment horizontal="center" vertical="center" wrapText="1"/>
    </xf>
    <xf numFmtId="164" fontId="28" fillId="17" borderId="12" xfId="1" applyFont="1" applyFill="1" applyBorder="1" applyAlignment="1">
      <alignment horizontal="center" vertical="center" wrapText="1"/>
    </xf>
    <xf numFmtId="164" fontId="28" fillId="17" borderId="16" xfId="1" applyFont="1" applyFill="1" applyBorder="1" applyAlignment="1">
      <alignment horizontal="center" vertical="center" wrapText="1"/>
    </xf>
    <xf numFmtId="164" fontId="28" fillId="17" borderId="17" xfId="1" applyFont="1" applyFill="1" applyBorder="1" applyAlignment="1">
      <alignment horizontal="center" vertical="center" wrapText="1"/>
    </xf>
    <xf numFmtId="0" fontId="23" fillId="16" borderId="24" xfId="3" applyFont="1" applyFill="1" applyBorder="1" applyAlignment="1">
      <alignment horizontal="left" vertical="center" wrapText="1"/>
    </xf>
    <xf numFmtId="0" fontId="23" fillId="16" borderId="23" xfId="3" applyFont="1" applyFill="1" applyBorder="1" applyAlignment="1">
      <alignment horizontal="left" vertical="center" wrapText="1"/>
    </xf>
    <xf numFmtId="0" fontId="23" fillId="16" borderId="25" xfId="3" applyFont="1" applyFill="1" applyBorder="1" applyAlignment="1">
      <alignment horizontal="left" vertical="center" wrapText="1"/>
    </xf>
    <xf numFmtId="164" fontId="20" fillId="17" borderId="38" xfId="1" applyFont="1" applyFill="1" applyBorder="1" applyAlignment="1">
      <alignment horizontal="center" vertical="center" wrapText="1"/>
    </xf>
    <xf numFmtId="164" fontId="20" fillId="17" borderId="39" xfId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26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4" fontId="25" fillId="0" borderId="27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4" fontId="0" fillId="0" borderId="2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0" fillId="0" borderId="10" xfId="34" applyFont="1" applyBorder="1" applyAlignment="1">
      <alignment horizontal="left" wrapText="1"/>
    </xf>
    <xf numFmtId="169" fontId="30" fillId="17" borderId="10" xfId="52" applyNumberFormat="1" applyFont="1" applyFill="1" applyBorder="1" applyAlignment="1" applyProtection="1">
      <alignment horizontal="center" wrapText="1"/>
      <protection locked="0"/>
    </xf>
    <xf numFmtId="169" fontId="30" fillId="17" borderId="29" xfId="52" applyNumberFormat="1" applyFont="1" applyFill="1" applyBorder="1" applyAlignment="1" applyProtection="1">
      <alignment horizontal="center" wrapText="1"/>
      <protection locked="0"/>
    </xf>
    <xf numFmtId="0" fontId="29" fillId="0" borderId="10" xfId="34" applyFont="1" applyBorder="1" applyAlignment="1">
      <alignment horizontal="center"/>
    </xf>
    <xf numFmtId="0" fontId="29" fillId="0" borderId="29" xfId="34" applyFont="1" applyBorder="1" applyAlignment="1">
      <alignment horizontal="center"/>
    </xf>
    <xf numFmtId="0" fontId="30" fillId="0" borderId="10" xfId="0" applyFont="1" applyBorder="1"/>
    <xf numFmtId="0" fontId="30" fillId="0" borderId="10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10" xfId="34" applyFont="1" applyBorder="1"/>
    <xf numFmtId="0" fontId="30" fillId="0" borderId="10" xfId="34" applyFont="1" applyBorder="1" applyAlignment="1">
      <alignment horizontal="center"/>
    </xf>
    <xf numFmtId="0" fontId="30" fillId="0" borderId="29" xfId="34" applyFont="1" applyBorder="1" applyAlignment="1">
      <alignment horizontal="center"/>
    </xf>
    <xf numFmtId="169" fontId="29" fillId="17" borderId="10" xfId="52" applyNumberFormat="1" applyFont="1" applyFill="1" applyBorder="1" applyAlignment="1">
      <alignment horizontal="center"/>
    </xf>
    <xf numFmtId="169" fontId="29" fillId="17" borderId="29" xfId="52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1" fillId="0" borderId="50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33" fillId="0" borderId="41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33" fillId="0" borderId="46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</cellXfs>
  <cellStyles count="58">
    <cellStyle name="20% - Ênfase1 2" xfId="4"/>
    <cellStyle name="20% - Ênfase2 2" xfId="5"/>
    <cellStyle name="20% - Ênfase3 2" xfId="6"/>
    <cellStyle name="20% - Ênfase4 2" xfId="7"/>
    <cellStyle name="20% - Ênfase5 2" xfId="8"/>
    <cellStyle name="20% - Ênfase6 2" xfId="9"/>
    <cellStyle name="40% - Ênfase1 2" xfId="10"/>
    <cellStyle name="40% - Ênfase2 2" xfId="11"/>
    <cellStyle name="40% - Ênfase3 2" xfId="12"/>
    <cellStyle name="40% - Ênfase4 2" xfId="13"/>
    <cellStyle name="40% - Ênfase5 2" xfId="14"/>
    <cellStyle name="40% - Ênfase6 2" xfId="15"/>
    <cellStyle name="60% - Ênfase1 2" xfId="16"/>
    <cellStyle name="60% - Ênfase2 2" xfId="17"/>
    <cellStyle name="60% - Ênfase3 2" xfId="18"/>
    <cellStyle name="60% - Ênfase4 2" xfId="19"/>
    <cellStyle name="60% - Ênfase5 2" xfId="20"/>
    <cellStyle name="60% - Ênfase6 2" xfId="21"/>
    <cellStyle name="Bom 2" xfId="22"/>
    <cellStyle name="Cálculo 2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Hiperlink 2" xfId="57"/>
    <cellStyle name="Moeda" xfId="1" builtinId="4"/>
    <cellStyle name="Moeda 2" xfId="33"/>
    <cellStyle name="Moeda 3" xfId="53"/>
    <cellStyle name="Normal" xfId="0" builtinId="0"/>
    <cellStyle name="Normal 2" xfId="34"/>
    <cellStyle name="Normal 2 2" xfId="51"/>
    <cellStyle name="Normal 2 3" xfId="50"/>
    <cellStyle name="Normal 3" xfId="35"/>
    <cellStyle name="Normal 4" xfId="3"/>
    <cellStyle name="Normal_Plan1" xfId="54"/>
    <cellStyle name="Nota 2" xfId="36"/>
    <cellStyle name="Porcentagem" xfId="2" builtinId="5"/>
    <cellStyle name="Porcentagem 2" xfId="38"/>
    <cellStyle name="Porcentagem 3" xfId="37"/>
    <cellStyle name="Porcentagem 4" xfId="55"/>
    <cellStyle name="Saída 2" xfId="39"/>
    <cellStyle name="Texto de Aviso 2" xfId="40"/>
    <cellStyle name="Texto Explicativo 2" xfId="41"/>
    <cellStyle name="Título 1 2" xfId="42"/>
    <cellStyle name="Título 2 2" xfId="43"/>
    <cellStyle name="Título 3 2" xfId="44"/>
    <cellStyle name="Título 4 2" xfId="45"/>
    <cellStyle name="Título 5" xfId="46"/>
    <cellStyle name="Total 2" xfId="47"/>
    <cellStyle name="Vírgula 2" xfId="49"/>
    <cellStyle name="Vírgula 3" xfId="48"/>
    <cellStyle name="Vírgula 4" xfId="52"/>
    <cellStyle name="Vírgula 5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1"/>
  <sheetViews>
    <sheetView tabSelected="1" showWhiteSpace="0" view="pageLayout" zoomScale="80" zoomScaleNormal="80" zoomScalePageLayoutView="80" workbookViewId="0">
      <selection activeCell="S41" sqref="S41"/>
    </sheetView>
  </sheetViews>
  <sheetFormatPr defaultRowHeight="15" x14ac:dyDescent="0.25"/>
  <cols>
    <col min="1" max="1" width="9.140625" style="91"/>
    <col min="2" max="2" width="8" style="91" customWidth="1"/>
    <col min="3" max="3" width="15.28515625" style="92" bestFit="1" customWidth="1"/>
    <col min="4" max="4" width="14.7109375" style="92" customWidth="1"/>
    <col min="5" max="5" width="154" style="91" customWidth="1"/>
    <col min="6" max="6" width="13" style="91" bestFit="1" customWidth="1"/>
    <col min="7" max="7" width="13.28515625" style="91" bestFit="1" customWidth="1"/>
    <col min="8" max="8" width="18.42578125" style="1" customWidth="1"/>
    <col min="9" max="9" width="8" style="2" customWidth="1"/>
    <col min="10" max="10" width="18" style="1" customWidth="1"/>
    <col min="11" max="11" width="23" style="1" customWidth="1"/>
    <col min="12" max="16384" width="9.140625" style="91"/>
  </cols>
  <sheetData>
    <row r="1" spans="2:13" ht="15.75" thickBot="1" x14ac:dyDescent="0.3"/>
    <row r="2" spans="2:13" ht="23.25" customHeight="1" thickBot="1" x14ac:dyDescent="0.3">
      <c r="B2" s="140" t="s">
        <v>131</v>
      </c>
      <c r="C2" s="141"/>
      <c r="D2" s="141"/>
      <c r="E2" s="141"/>
      <c r="F2" s="141"/>
      <c r="G2" s="141"/>
      <c r="H2" s="141"/>
      <c r="I2" s="141"/>
      <c r="J2" s="141"/>
      <c r="K2" s="142"/>
    </row>
    <row r="3" spans="2:13" ht="20.25" customHeight="1" x14ac:dyDescent="0.25">
      <c r="B3" s="143" t="s">
        <v>132</v>
      </c>
      <c r="C3" s="144"/>
      <c r="D3" s="132" t="s">
        <v>183</v>
      </c>
      <c r="E3" s="132"/>
      <c r="F3" s="132"/>
      <c r="G3" s="132"/>
      <c r="H3" s="132"/>
      <c r="I3" s="132"/>
      <c r="J3" s="132"/>
      <c r="K3" s="133"/>
    </row>
    <row r="4" spans="2:13" ht="23.25" customHeight="1" x14ac:dyDescent="0.25">
      <c r="B4" s="143" t="s">
        <v>133</v>
      </c>
      <c r="C4" s="144"/>
      <c r="D4" s="131" t="s">
        <v>201</v>
      </c>
      <c r="E4" s="132"/>
      <c r="F4" s="132"/>
      <c r="G4" s="132"/>
      <c r="H4" s="132"/>
      <c r="I4" s="132"/>
      <c r="J4" s="132"/>
      <c r="K4" s="133"/>
      <c r="L4" s="87"/>
      <c r="M4" s="88"/>
    </row>
    <row r="5" spans="2:13" ht="18.75" customHeight="1" x14ac:dyDescent="0.25">
      <c r="B5" s="38" t="s">
        <v>134</v>
      </c>
      <c r="C5" s="76"/>
      <c r="D5" s="132" t="s">
        <v>206</v>
      </c>
      <c r="E5" s="132"/>
      <c r="F5" s="132"/>
      <c r="G5" s="132"/>
      <c r="H5" s="132"/>
      <c r="I5" s="132"/>
      <c r="J5" s="132"/>
      <c r="K5" s="133"/>
    </row>
    <row r="6" spans="2:13" ht="15.75" x14ac:dyDescent="0.25">
      <c r="B6" s="147" t="s">
        <v>136</v>
      </c>
      <c r="C6" s="148"/>
      <c r="D6" s="89">
        <v>0.22</v>
      </c>
      <c r="E6" s="90"/>
      <c r="F6" s="90"/>
      <c r="G6" s="90"/>
      <c r="H6" s="43"/>
      <c r="I6" s="44">
        <v>0.24</v>
      </c>
      <c r="J6" s="39"/>
      <c r="K6" s="51"/>
    </row>
    <row r="7" spans="2:13" ht="16.5" thickBot="1" x14ac:dyDescent="0.3">
      <c r="B7" s="145" t="s">
        <v>135</v>
      </c>
      <c r="C7" s="146"/>
      <c r="D7" s="75">
        <f ca="1">TODAY()</f>
        <v>45257</v>
      </c>
      <c r="E7" s="37"/>
      <c r="F7" s="37"/>
      <c r="G7" s="37"/>
      <c r="H7" s="40"/>
      <c r="I7" s="52"/>
      <c r="J7" s="41"/>
      <c r="K7" s="42"/>
    </row>
    <row r="8" spans="2:13" ht="16.5" thickBot="1" x14ac:dyDescent="0.3">
      <c r="B8" s="28"/>
      <c r="C8" s="33"/>
      <c r="D8" s="33"/>
      <c r="E8" s="29"/>
      <c r="F8" s="29"/>
      <c r="G8" s="29"/>
      <c r="H8" s="45"/>
      <c r="I8" s="46"/>
      <c r="J8" s="36"/>
      <c r="K8" s="53"/>
    </row>
    <row r="9" spans="2:13" ht="40.5" customHeight="1" thickBot="1" x14ac:dyDescent="0.3">
      <c r="B9" s="47" t="s">
        <v>0</v>
      </c>
      <c r="C9" s="48" t="s">
        <v>1</v>
      </c>
      <c r="D9" s="48" t="s">
        <v>2</v>
      </c>
      <c r="E9" s="48" t="s">
        <v>3</v>
      </c>
      <c r="F9" s="48" t="s">
        <v>4</v>
      </c>
      <c r="G9" s="48" t="s">
        <v>5</v>
      </c>
      <c r="H9" s="86" t="s">
        <v>6</v>
      </c>
      <c r="I9" s="49" t="s">
        <v>7</v>
      </c>
      <c r="J9" s="86" t="s">
        <v>8</v>
      </c>
      <c r="K9" s="50" t="s">
        <v>9</v>
      </c>
    </row>
    <row r="10" spans="2:13" ht="15" customHeight="1" x14ac:dyDescent="0.25">
      <c r="B10" s="153" t="s">
        <v>191</v>
      </c>
      <c r="C10" s="154"/>
      <c r="D10" s="154"/>
      <c r="E10" s="154"/>
      <c r="F10" s="154"/>
      <c r="G10" s="154"/>
      <c r="H10" s="154"/>
      <c r="I10" s="154"/>
      <c r="J10" s="154"/>
      <c r="K10" s="155"/>
    </row>
    <row r="11" spans="2:13" x14ac:dyDescent="0.25">
      <c r="B11" s="54" t="s">
        <v>10</v>
      </c>
      <c r="C11" s="73"/>
      <c r="D11" s="73"/>
      <c r="E11" s="13" t="s">
        <v>192</v>
      </c>
      <c r="F11" s="7"/>
      <c r="G11" s="7"/>
      <c r="H11" s="5"/>
      <c r="I11" s="8"/>
      <c r="J11" s="5"/>
      <c r="K11" s="55">
        <f>K12+K14+K17+K22+K26+K38+K45</f>
        <v>992094.00315475464</v>
      </c>
    </row>
    <row r="12" spans="2:13" x14ac:dyDescent="0.25">
      <c r="B12" s="56" t="s">
        <v>11</v>
      </c>
      <c r="C12" s="66"/>
      <c r="D12" s="66"/>
      <c r="E12" s="14" t="s">
        <v>38</v>
      </c>
      <c r="F12" s="9"/>
      <c r="G12" s="9"/>
      <c r="H12" s="6"/>
      <c r="I12" s="10"/>
      <c r="J12" s="6"/>
      <c r="K12" s="57">
        <f>G13*J13</f>
        <v>1245.33</v>
      </c>
    </row>
    <row r="13" spans="2:13" x14ac:dyDescent="0.25">
      <c r="B13" s="58" t="s">
        <v>12</v>
      </c>
      <c r="C13" s="93" t="str">
        <f>Composições!B7</f>
        <v>COMPOSIÇÃO</v>
      </c>
      <c r="D13" s="93">
        <f>Composições!C7</f>
        <v>1</v>
      </c>
      <c r="E13" s="94" t="str">
        <f>Composições!D7</f>
        <v>Placa de obra em aço galvanizado (1,20x2,50m)</v>
      </c>
      <c r="F13" s="94" t="str">
        <f>Composições!E7</f>
        <v>M²</v>
      </c>
      <c r="G13" s="95">
        <v>3</v>
      </c>
      <c r="H13" s="4">
        <f>Composições!G7</f>
        <v>340.25110000000001</v>
      </c>
      <c r="I13" s="3"/>
      <c r="J13" s="4">
        <f>ROUND(H13*(1+22%),2)</f>
        <v>415.11</v>
      </c>
      <c r="K13" s="59">
        <v>1271.9100000000001</v>
      </c>
    </row>
    <row r="14" spans="2:13" s="11" customFormat="1" x14ac:dyDescent="0.25">
      <c r="B14" s="56" t="s">
        <v>13</v>
      </c>
      <c r="C14" s="66"/>
      <c r="D14" s="66"/>
      <c r="E14" s="14" t="s">
        <v>167</v>
      </c>
      <c r="F14" s="9"/>
      <c r="G14" s="12"/>
      <c r="H14" s="6"/>
      <c r="I14" s="10"/>
      <c r="J14" s="6"/>
      <c r="K14" s="57">
        <f>SUM(K15:K16)</f>
        <v>10773.58</v>
      </c>
    </row>
    <row r="15" spans="2:13" x14ac:dyDescent="0.25">
      <c r="B15" s="58" t="s">
        <v>14</v>
      </c>
      <c r="C15" s="93" t="str">
        <f>Composições!B16</f>
        <v xml:space="preserve">COMPOSIÇÃO </v>
      </c>
      <c r="D15" s="93">
        <f>Composições!C16</f>
        <v>2</v>
      </c>
      <c r="E15" s="94" t="str">
        <f>Composições!D16</f>
        <v>Mobilização</v>
      </c>
      <c r="F15" s="94" t="str">
        <f>Composições!E16</f>
        <v>UND</v>
      </c>
      <c r="G15" s="95">
        <v>1</v>
      </c>
      <c r="H15" s="4">
        <f>Composições!G16</f>
        <v>4415.4000000000005</v>
      </c>
      <c r="I15" s="3"/>
      <c r="J15" s="4">
        <f>ROUND(H15*(1+22%),2)</f>
        <v>5386.79</v>
      </c>
      <c r="K15" s="59">
        <f t="shared" ref="K15:K16" si="0">J15*G15</f>
        <v>5386.79</v>
      </c>
    </row>
    <row r="16" spans="2:13" x14ac:dyDescent="0.25">
      <c r="B16" s="58" t="s">
        <v>15</v>
      </c>
      <c r="C16" s="93" t="str">
        <f>Composições!B22</f>
        <v xml:space="preserve">COMPOSIÇÃO </v>
      </c>
      <c r="D16" s="93">
        <f>Composições!C22</f>
        <v>3</v>
      </c>
      <c r="E16" s="94" t="str">
        <f>Composições!D22</f>
        <v>Desmobilização</v>
      </c>
      <c r="F16" s="94" t="str">
        <f>Composições!E22</f>
        <v>UND</v>
      </c>
      <c r="G16" s="95">
        <v>1</v>
      </c>
      <c r="H16" s="4">
        <f>Composições!G22</f>
        <v>4415.4000000000005</v>
      </c>
      <c r="I16" s="3"/>
      <c r="J16" s="4">
        <f>ROUND(H16*(1+22%),2)</f>
        <v>5386.79</v>
      </c>
      <c r="K16" s="59">
        <f t="shared" si="0"/>
        <v>5386.79</v>
      </c>
    </row>
    <row r="17" spans="2:11" s="11" customFormat="1" x14ac:dyDescent="0.25">
      <c r="B17" s="56" t="s">
        <v>16</v>
      </c>
      <c r="C17" s="66"/>
      <c r="D17" s="66"/>
      <c r="E17" s="14" t="s">
        <v>39</v>
      </c>
      <c r="F17" s="9"/>
      <c r="G17" s="12"/>
      <c r="H17" s="6"/>
      <c r="I17" s="10"/>
      <c r="J17" s="6"/>
      <c r="K17" s="57">
        <f>SUM(K18:K21)</f>
        <v>29800.423200000001</v>
      </c>
    </row>
    <row r="18" spans="2:11" ht="30" x14ac:dyDescent="0.25">
      <c r="B18" s="58" t="s">
        <v>17</v>
      </c>
      <c r="C18" s="124" t="s">
        <v>46</v>
      </c>
      <c r="D18" s="124">
        <v>5502146</v>
      </c>
      <c r="E18" s="125" t="s">
        <v>66</v>
      </c>
      <c r="F18" s="126" t="s">
        <v>63</v>
      </c>
      <c r="G18" s="127">
        <f>1453+34</f>
        <v>1487</v>
      </c>
      <c r="H18" s="128">
        <v>8.84</v>
      </c>
      <c r="I18" s="129"/>
      <c r="J18" s="128">
        <f>ROUND(H18*(1+22%),2)</f>
        <v>10.78</v>
      </c>
      <c r="K18" s="130">
        <f>G18*J18</f>
        <v>16029.859999999999</v>
      </c>
    </row>
    <row r="19" spans="2:11" x14ac:dyDescent="0.25">
      <c r="B19" s="58" t="s">
        <v>18</v>
      </c>
      <c r="C19" s="93" t="s">
        <v>46</v>
      </c>
      <c r="D19" s="93">
        <v>4413942</v>
      </c>
      <c r="E19" s="94" t="s">
        <v>71</v>
      </c>
      <c r="F19" s="94" t="s">
        <v>63</v>
      </c>
      <c r="G19" s="95">
        <v>12.08</v>
      </c>
      <c r="H19" s="4">
        <v>1.59</v>
      </c>
      <c r="I19" s="3"/>
      <c r="J19" s="4">
        <v>1.67</v>
      </c>
      <c r="K19" s="59">
        <f t="shared" ref="K19:K21" si="1">G19*J19</f>
        <v>20.1736</v>
      </c>
    </row>
    <row r="20" spans="2:11" x14ac:dyDescent="0.25">
      <c r="B20" s="58" t="s">
        <v>19</v>
      </c>
      <c r="C20" s="93" t="s">
        <v>46</v>
      </c>
      <c r="D20" s="93">
        <v>5503041</v>
      </c>
      <c r="E20" s="94" t="s">
        <v>72</v>
      </c>
      <c r="F20" s="94" t="s">
        <v>63</v>
      </c>
      <c r="G20" s="95">
        <v>12.08</v>
      </c>
      <c r="H20" s="4">
        <v>8.2899999999999991</v>
      </c>
      <c r="I20" s="3"/>
      <c r="J20" s="4">
        <f t="shared" ref="J19:J49" si="2">ROUND(H20*(1+22%),2)</f>
        <v>10.11</v>
      </c>
      <c r="K20" s="59">
        <f t="shared" si="1"/>
        <v>122.1288</v>
      </c>
    </row>
    <row r="21" spans="2:11" x14ac:dyDescent="0.25">
      <c r="B21" s="58" t="s">
        <v>20</v>
      </c>
      <c r="C21" s="93" t="s">
        <v>46</v>
      </c>
      <c r="D21" s="93">
        <v>5502113</v>
      </c>
      <c r="E21" s="94" t="s">
        <v>73</v>
      </c>
      <c r="F21" s="94" t="s">
        <v>63</v>
      </c>
      <c r="G21" s="95">
        <f>G18-G19</f>
        <v>1474.92</v>
      </c>
      <c r="H21" s="4">
        <v>7.57</v>
      </c>
      <c r="I21" s="3"/>
      <c r="J21" s="4">
        <f t="shared" si="2"/>
        <v>9.24</v>
      </c>
      <c r="K21" s="59">
        <f t="shared" si="1"/>
        <v>13628.260800000002</v>
      </c>
    </row>
    <row r="22" spans="2:11" s="11" customFormat="1" x14ac:dyDescent="0.25">
      <c r="B22" s="56" t="s">
        <v>21</v>
      </c>
      <c r="C22" s="66"/>
      <c r="D22" s="66"/>
      <c r="E22" s="14" t="s">
        <v>40</v>
      </c>
      <c r="F22" s="9"/>
      <c r="G22" s="12"/>
      <c r="H22" s="6"/>
      <c r="I22" s="10"/>
      <c r="J22" s="6"/>
      <c r="K22" s="57">
        <f>SUM(K23:K25)</f>
        <v>42675.14</v>
      </c>
    </row>
    <row r="23" spans="2:11" s="11" customFormat="1" x14ac:dyDescent="0.25">
      <c r="B23" s="58" t="s">
        <v>22</v>
      </c>
      <c r="C23" s="93" t="s">
        <v>46</v>
      </c>
      <c r="D23" s="93">
        <v>2003269</v>
      </c>
      <c r="E23" s="94" t="s">
        <v>193</v>
      </c>
      <c r="F23" s="94" t="s">
        <v>49</v>
      </c>
      <c r="G23" s="95">
        <v>510</v>
      </c>
      <c r="H23" s="4">
        <v>61.63</v>
      </c>
      <c r="I23" s="3"/>
      <c r="J23" s="4">
        <f t="shared" si="2"/>
        <v>75.19</v>
      </c>
      <c r="K23" s="82">
        <f>G23*J23</f>
        <v>38346.9</v>
      </c>
    </row>
    <row r="24" spans="2:11" s="11" customFormat="1" x14ac:dyDescent="0.25">
      <c r="B24" s="58" t="s">
        <v>23</v>
      </c>
      <c r="C24" s="93" t="s">
        <v>43</v>
      </c>
      <c r="D24" s="93">
        <v>10</v>
      </c>
      <c r="E24" s="94" t="s">
        <v>153</v>
      </c>
      <c r="F24" s="94" t="s">
        <v>49</v>
      </c>
      <c r="G24" s="95">
        <v>15</v>
      </c>
      <c r="H24" s="4">
        <f>Composições!G78</f>
        <v>157.77589380000001</v>
      </c>
      <c r="I24" s="3"/>
      <c r="J24" s="4">
        <f t="shared" si="2"/>
        <v>192.49</v>
      </c>
      <c r="K24" s="82">
        <f t="shared" ref="K24:K25" si="3">G24*J24</f>
        <v>2887.3500000000004</v>
      </c>
    </row>
    <row r="25" spans="2:11" x14ac:dyDescent="0.25">
      <c r="B25" s="58" t="s">
        <v>24</v>
      </c>
      <c r="C25" s="93" t="s">
        <v>46</v>
      </c>
      <c r="D25" s="93">
        <v>2003620</v>
      </c>
      <c r="E25" s="94" t="s">
        <v>194</v>
      </c>
      <c r="F25" s="94" t="s">
        <v>69</v>
      </c>
      <c r="G25" s="95">
        <v>1</v>
      </c>
      <c r="H25" s="4">
        <v>1181.06</v>
      </c>
      <c r="I25" s="3"/>
      <c r="J25" s="4">
        <f t="shared" si="2"/>
        <v>1440.89</v>
      </c>
      <c r="K25" s="82">
        <f t="shared" si="3"/>
        <v>1440.89</v>
      </c>
    </row>
    <row r="26" spans="2:11" s="11" customFormat="1" x14ac:dyDescent="0.25">
      <c r="B26" s="56" t="s">
        <v>25</v>
      </c>
      <c r="C26" s="66"/>
      <c r="D26" s="66"/>
      <c r="E26" s="14" t="s">
        <v>41</v>
      </c>
      <c r="F26" s="9"/>
      <c r="G26" s="12"/>
      <c r="H26" s="6"/>
      <c r="I26" s="10"/>
      <c r="J26" s="6"/>
      <c r="K26" s="57">
        <f>SUM(K27:K37)</f>
        <v>886679.79399999999</v>
      </c>
    </row>
    <row r="27" spans="2:11" x14ac:dyDescent="0.25">
      <c r="B27" s="58" t="s">
        <v>26</v>
      </c>
      <c r="C27" s="93" t="s">
        <v>46</v>
      </c>
      <c r="D27" s="93">
        <v>4011209</v>
      </c>
      <c r="E27" s="94" t="s">
        <v>83</v>
      </c>
      <c r="F27" s="94" t="s">
        <v>45</v>
      </c>
      <c r="G27" s="95">
        <f>4647.5</f>
        <v>4647.5</v>
      </c>
      <c r="H27" s="4">
        <v>1.1200000000000001</v>
      </c>
      <c r="I27" s="3"/>
      <c r="J27" s="4">
        <f t="shared" si="2"/>
        <v>1.37</v>
      </c>
      <c r="K27" s="59">
        <f>G27*J27</f>
        <v>6367.0750000000007</v>
      </c>
    </row>
    <row r="28" spans="2:11" x14ac:dyDescent="0.25">
      <c r="B28" s="58" t="s">
        <v>27</v>
      </c>
      <c r="C28" s="93" t="s">
        <v>46</v>
      </c>
      <c r="D28" s="93">
        <v>4011279</v>
      </c>
      <c r="E28" s="94" t="s">
        <v>195</v>
      </c>
      <c r="F28" s="94" t="s">
        <v>63</v>
      </c>
      <c r="G28" s="95">
        <f>G27*0.15</f>
        <v>697.125</v>
      </c>
      <c r="H28" s="4">
        <v>178.83</v>
      </c>
      <c r="I28" s="3"/>
      <c r="J28" s="4">
        <f t="shared" si="2"/>
        <v>218.17</v>
      </c>
      <c r="K28" s="59">
        <f t="shared" ref="K28:K37" si="4">G28*J28</f>
        <v>152091.76124999998</v>
      </c>
    </row>
    <row r="29" spans="2:11" x14ac:dyDescent="0.25">
      <c r="B29" s="58" t="s">
        <v>28</v>
      </c>
      <c r="C29" s="93" t="s">
        <v>46</v>
      </c>
      <c r="D29" s="93">
        <v>5901640</v>
      </c>
      <c r="E29" s="94" t="s">
        <v>85</v>
      </c>
      <c r="F29" s="94" t="s">
        <v>82</v>
      </c>
      <c r="G29" s="95">
        <f>G28*2.4*45</f>
        <v>75289.5</v>
      </c>
      <c r="H29" s="4">
        <v>0.55000000000000004</v>
      </c>
      <c r="I29" s="3"/>
      <c r="J29" s="4">
        <f t="shared" si="2"/>
        <v>0.67</v>
      </c>
      <c r="K29" s="59">
        <f t="shared" si="4"/>
        <v>50443.965000000004</v>
      </c>
    </row>
    <row r="30" spans="2:11" x14ac:dyDescent="0.25">
      <c r="B30" s="58" t="s">
        <v>29</v>
      </c>
      <c r="C30" s="93" t="s">
        <v>46</v>
      </c>
      <c r="D30" s="93">
        <v>4011549</v>
      </c>
      <c r="E30" s="94" t="s">
        <v>196</v>
      </c>
      <c r="F30" s="94" t="s">
        <v>63</v>
      </c>
      <c r="G30" s="95">
        <f>G27*0.1</f>
        <v>464.75</v>
      </c>
      <c r="H30" s="4">
        <v>213.17</v>
      </c>
      <c r="I30" s="3"/>
      <c r="J30" s="4">
        <f t="shared" si="2"/>
        <v>260.07</v>
      </c>
      <c r="K30" s="59">
        <f t="shared" si="4"/>
        <v>120867.5325</v>
      </c>
    </row>
    <row r="31" spans="2:11" x14ac:dyDescent="0.25">
      <c r="B31" s="58" t="s">
        <v>30</v>
      </c>
      <c r="C31" s="93" t="s">
        <v>46</v>
      </c>
      <c r="D31" s="93">
        <v>5901640</v>
      </c>
      <c r="E31" s="94" t="s">
        <v>85</v>
      </c>
      <c r="F31" s="94" t="s">
        <v>82</v>
      </c>
      <c r="G31" s="95">
        <f>(G30)*45*2.4</f>
        <v>50193</v>
      </c>
      <c r="H31" s="4">
        <v>0.55000000000000004</v>
      </c>
      <c r="I31" s="3"/>
      <c r="J31" s="4">
        <f t="shared" si="2"/>
        <v>0.67</v>
      </c>
      <c r="K31" s="59">
        <f t="shared" si="4"/>
        <v>33629.310000000005</v>
      </c>
    </row>
    <row r="32" spans="2:11" x14ac:dyDescent="0.25">
      <c r="B32" s="58" t="s">
        <v>31</v>
      </c>
      <c r="C32" s="93" t="str">
        <f>Composições!B60</f>
        <v>COMPOSIÇÃO</v>
      </c>
      <c r="D32" s="93">
        <f>Composições!C60</f>
        <v>8</v>
      </c>
      <c r="E32" s="94" t="str">
        <f>Composições!D60</f>
        <v>Imprimação com asfalto diluído tipo CM 30 - taxa de 1,2 l/m²</v>
      </c>
      <c r="F32" s="94" t="str">
        <f>Composições!E60</f>
        <v>M²</v>
      </c>
      <c r="G32" s="95">
        <f>G27</f>
        <v>4647.5</v>
      </c>
      <c r="H32" s="4">
        <f>Composições!G60</f>
        <v>8.8145555000000009</v>
      </c>
      <c r="I32" s="3"/>
      <c r="J32" s="4">
        <f t="shared" si="2"/>
        <v>10.75</v>
      </c>
      <c r="K32" s="59">
        <f t="shared" si="4"/>
        <v>49960.625</v>
      </c>
    </row>
    <row r="33" spans="2:11" x14ac:dyDescent="0.25">
      <c r="B33" s="58" t="s">
        <v>37</v>
      </c>
      <c r="C33" s="93" t="s">
        <v>46</v>
      </c>
      <c r="D33" s="93">
        <v>5914622</v>
      </c>
      <c r="E33" s="94" t="s">
        <v>86</v>
      </c>
      <c r="F33" s="94" t="s">
        <v>82</v>
      </c>
      <c r="G33" s="95">
        <f>(300*G32*1.2)/1000</f>
        <v>1673.1</v>
      </c>
      <c r="H33" s="4">
        <v>1.71</v>
      </c>
      <c r="I33" s="3"/>
      <c r="J33" s="4">
        <f t="shared" si="2"/>
        <v>2.09</v>
      </c>
      <c r="K33" s="59">
        <f t="shared" si="4"/>
        <v>3496.7789999999995</v>
      </c>
    </row>
    <row r="34" spans="2:11" x14ac:dyDescent="0.25">
      <c r="B34" s="58" t="s">
        <v>84</v>
      </c>
      <c r="C34" s="93" t="str">
        <f>Composições!B70</f>
        <v>COMPOSIÇÃO</v>
      </c>
      <c r="D34" s="93">
        <f>Composições!C70</f>
        <v>9</v>
      </c>
      <c r="E34" s="94" t="str">
        <f>Composições!D70</f>
        <v>Pintura de ligação com emulsão RR-2C - taxa = 0,50 L/m²</v>
      </c>
      <c r="F34" s="94" t="str">
        <f>Composições!E70</f>
        <v>M²</v>
      </c>
      <c r="G34" s="95">
        <f>G27</f>
        <v>4647.5</v>
      </c>
      <c r="H34" s="4">
        <f>Composições!G70</f>
        <v>2.6483530000000002</v>
      </c>
      <c r="I34" s="3"/>
      <c r="J34" s="4">
        <f t="shared" si="2"/>
        <v>3.23</v>
      </c>
      <c r="K34" s="59">
        <f t="shared" si="4"/>
        <v>15011.424999999999</v>
      </c>
    </row>
    <row r="35" spans="2:11" x14ac:dyDescent="0.25">
      <c r="B35" s="58" t="s">
        <v>168</v>
      </c>
      <c r="C35" s="93" t="s">
        <v>46</v>
      </c>
      <c r="D35" s="93">
        <v>5914622</v>
      </c>
      <c r="E35" s="94" t="s">
        <v>86</v>
      </c>
      <c r="F35" s="94" t="s">
        <v>82</v>
      </c>
      <c r="G35" s="95">
        <f>(300*G32*0.5)/1000</f>
        <v>697.125</v>
      </c>
      <c r="H35" s="4">
        <v>1.71</v>
      </c>
      <c r="I35" s="3"/>
      <c r="J35" s="4">
        <f t="shared" si="2"/>
        <v>2.09</v>
      </c>
      <c r="K35" s="59">
        <f t="shared" si="4"/>
        <v>1456.9912499999998</v>
      </c>
    </row>
    <row r="36" spans="2:11" x14ac:dyDescent="0.25">
      <c r="B36" s="58" t="s">
        <v>174</v>
      </c>
      <c r="C36" s="93" t="s">
        <v>67</v>
      </c>
      <c r="D36" s="93">
        <v>95995</v>
      </c>
      <c r="E36" s="94" t="s">
        <v>126</v>
      </c>
      <c r="F36" s="94" t="s">
        <v>63</v>
      </c>
      <c r="G36" s="95">
        <f>G27*0.05</f>
        <v>232.375</v>
      </c>
      <c r="H36" s="4">
        <v>1534.89</v>
      </c>
      <c r="I36" s="3"/>
      <c r="J36" s="4">
        <f t="shared" si="2"/>
        <v>1872.57</v>
      </c>
      <c r="K36" s="59">
        <f t="shared" si="4"/>
        <v>435138.45374999999</v>
      </c>
    </row>
    <row r="37" spans="2:11" x14ac:dyDescent="0.25">
      <c r="B37" s="58" t="s">
        <v>175</v>
      </c>
      <c r="C37" s="93" t="s">
        <v>46</v>
      </c>
      <c r="D37" s="93">
        <v>5901640</v>
      </c>
      <c r="E37" s="94" t="s">
        <v>85</v>
      </c>
      <c r="F37" s="94" t="s">
        <v>82</v>
      </c>
      <c r="G37" s="94">
        <f>G36*2.34*50</f>
        <v>27187.874999999996</v>
      </c>
      <c r="H37" s="4">
        <v>0.55000000000000004</v>
      </c>
      <c r="I37" s="3"/>
      <c r="J37" s="4">
        <f t="shared" si="2"/>
        <v>0.67</v>
      </c>
      <c r="K37" s="59">
        <f t="shared" si="4"/>
        <v>18215.876249999998</v>
      </c>
    </row>
    <row r="38" spans="2:11" s="11" customFormat="1" x14ac:dyDescent="0.25">
      <c r="B38" s="56" t="s">
        <v>32</v>
      </c>
      <c r="C38" s="66"/>
      <c r="D38" s="66"/>
      <c r="E38" s="14" t="s">
        <v>152</v>
      </c>
      <c r="F38" s="9"/>
      <c r="G38" s="12"/>
      <c r="H38" s="6"/>
      <c r="I38" s="10"/>
      <c r="J38" s="6"/>
      <c r="K38" s="57">
        <f>SUM(K39:K44)</f>
        <v>8895.6059547546029</v>
      </c>
    </row>
    <row r="39" spans="2:11" x14ac:dyDescent="0.25">
      <c r="B39" s="58" t="s">
        <v>33</v>
      </c>
      <c r="C39" s="93" t="s">
        <v>67</v>
      </c>
      <c r="D39" s="93">
        <v>95995</v>
      </c>
      <c r="E39" s="94" t="s">
        <v>126</v>
      </c>
      <c r="F39" s="94" t="s">
        <v>63</v>
      </c>
      <c r="G39" s="95">
        <f>52.5/6.52/2</f>
        <v>4.0260736196319025</v>
      </c>
      <c r="H39" s="4">
        <v>1534.89</v>
      </c>
      <c r="I39" s="3"/>
      <c r="J39" s="4">
        <f t="shared" si="2"/>
        <v>1872.57</v>
      </c>
      <c r="K39" s="59">
        <f>G39*J39</f>
        <v>7539.1046779141116</v>
      </c>
    </row>
    <row r="40" spans="2:11" x14ac:dyDescent="0.25">
      <c r="B40" s="58" t="s">
        <v>176</v>
      </c>
      <c r="C40" s="93" t="s">
        <v>46</v>
      </c>
      <c r="D40" s="93">
        <v>5914622</v>
      </c>
      <c r="E40" s="94" t="s">
        <v>86</v>
      </c>
      <c r="F40" s="94" t="s">
        <v>82</v>
      </c>
      <c r="G40" s="95">
        <f>G39*2.34*50</f>
        <v>471.05061349693261</v>
      </c>
      <c r="H40" s="4">
        <v>1.71</v>
      </c>
      <c r="I40" s="3"/>
      <c r="J40" s="4">
        <f t="shared" si="2"/>
        <v>2.09</v>
      </c>
      <c r="K40" s="59">
        <f t="shared" ref="K40:K44" si="5">G40*J40</f>
        <v>984.49578220858905</v>
      </c>
    </row>
    <row r="41" spans="2:11" x14ac:dyDescent="0.25">
      <c r="B41" s="58" t="s">
        <v>177</v>
      </c>
      <c r="C41" s="93" t="s">
        <v>43</v>
      </c>
      <c r="D41" s="93">
        <v>7</v>
      </c>
      <c r="E41" s="94" t="s">
        <v>170</v>
      </c>
      <c r="F41" s="94" t="s">
        <v>63</v>
      </c>
      <c r="G41" s="95">
        <f>27*0.4/2</f>
        <v>5.4</v>
      </c>
      <c r="H41" s="4">
        <f>Composições!G52</f>
        <v>25.126939999999998</v>
      </c>
      <c r="I41" s="3"/>
      <c r="J41" s="4">
        <f t="shared" si="2"/>
        <v>30.65</v>
      </c>
      <c r="K41" s="59">
        <f t="shared" si="5"/>
        <v>165.51</v>
      </c>
    </row>
    <row r="42" spans="2:11" x14ac:dyDescent="0.25">
      <c r="B42" s="58" t="s">
        <v>178</v>
      </c>
      <c r="C42" s="93" t="s">
        <v>43</v>
      </c>
      <c r="D42" s="93">
        <v>9</v>
      </c>
      <c r="E42" s="94" t="s">
        <v>122</v>
      </c>
      <c r="F42" s="94" t="s">
        <v>45</v>
      </c>
      <c r="G42" s="94">
        <f>48.05/2</f>
        <v>24.024999999999999</v>
      </c>
      <c r="H42" s="4">
        <v>2.62</v>
      </c>
      <c r="I42" s="3"/>
      <c r="J42" s="4">
        <f t="shared" si="2"/>
        <v>3.2</v>
      </c>
      <c r="K42" s="59">
        <f t="shared" si="5"/>
        <v>76.88</v>
      </c>
    </row>
    <row r="43" spans="2:11" x14ac:dyDescent="0.25">
      <c r="B43" s="58" t="s">
        <v>179</v>
      </c>
      <c r="C43" s="93" t="s">
        <v>46</v>
      </c>
      <c r="D43" s="93">
        <v>5901640</v>
      </c>
      <c r="E43" s="94" t="s">
        <v>85</v>
      </c>
      <c r="F43" s="94" t="s">
        <v>82</v>
      </c>
      <c r="G43" s="94">
        <f>G39*45</f>
        <v>181.17331288343561</v>
      </c>
      <c r="H43" s="4">
        <v>0.55000000000000004</v>
      </c>
      <c r="I43" s="3"/>
      <c r="J43" s="4">
        <f t="shared" si="2"/>
        <v>0.67</v>
      </c>
      <c r="K43" s="59">
        <f t="shared" si="5"/>
        <v>121.38611963190186</v>
      </c>
    </row>
    <row r="44" spans="2:11" x14ac:dyDescent="0.25">
      <c r="B44" s="58" t="s">
        <v>180</v>
      </c>
      <c r="C44" s="93" t="s">
        <v>46</v>
      </c>
      <c r="D44" s="93">
        <v>5914622</v>
      </c>
      <c r="E44" s="94" t="s">
        <v>86</v>
      </c>
      <c r="F44" s="94" t="s">
        <v>82</v>
      </c>
      <c r="G44" s="95">
        <f>(((52.5*300*0.5))/1000)/2</f>
        <v>3.9375</v>
      </c>
      <c r="H44" s="4">
        <v>1.71</v>
      </c>
      <c r="I44" s="3"/>
      <c r="J44" s="4">
        <f t="shared" si="2"/>
        <v>2.09</v>
      </c>
      <c r="K44" s="59">
        <f t="shared" si="5"/>
        <v>8.2293749999999992</v>
      </c>
    </row>
    <row r="45" spans="2:11" s="11" customFormat="1" x14ac:dyDescent="0.25">
      <c r="B45" s="56" t="s">
        <v>34</v>
      </c>
      <c r="C45" s="66"/>
      <c r="D45" s="66"/>
      <c r="E45" s="14" t="s">
        <v>42</v>
      </c>
      <c r="F45" s="9"/>
      <c r="G45" s="12"/>
      <c r="H45" s="10"/>
      <c r="I45" s="10"/>
      <c r="J45" s="6"/>
      <c r="K45" s="57">
        <f>SUM(K46:K49)</f>
        <v>12024.13</v>
      </c>
    </row>
    <row r="46" spans="2:11" x14ac:dyDescent="0.25">
      <c r="B46" s="58" t="s">
        <v>35</v>
      </c>
      <c r="C46" s="93" t="str">
        <f>Composições!B36</f>
        <v>COMPOSIÇÃO</v>
      </c>
      <c r="D46" s="93">
        <f>Composições!C36</f>
        <v>5</v>
      </c>
      <c r="E46" s="94" t="str">
        <f>Composições!D36</f>
        <v>Pintura de faixa horizontal amarela - 10cm</v>
      </c>
      <c r="F46" s="94" t="str">
        <f>Composições!E36</f>
        <v>M²</v>
      </c>
      <c r="G46" s="94">
        <f>G27/6.5*2*0.1</f>
        <v>143</v>
      </c>
      <c r="H46" s="4">
        <f>Composições!G36</f>
        <v>25.126939999999998</v>
      </c>
      <c r="I46" s="3"/>
      <c r="J46" s="4">
        <f t="shared" si="2"/>
        <v>30.65</v>
      </c>
      <c r="K46" s="59">
        <f>G46*J46</f>
        <v>4382.95</v>
      </c>
    </row>
    <row r="47" spans="2:11" x14ac:dyDescent="0.25">
      <c r="B47" s="58" t="s">
        <v>36</v>
      </c>
      <c r="C47" s="93" t="str">
        <f>Composições!B44</f>
        <v>COMPOSIÇÃO</v>
      </c>
      <c r="D47" s="93">
        <f>Composições!C44</f>
        <v>6</v>
      </c>
      <c r="E47" s="94" t="str">
        <f>Composições!D44</f>
        <v>Pintura de faixa horizontal branca - 12cm</v>
      </c>
      <c r="F47" s="94" t="str">
        <f>Composições!E44</f>
        <v>M²</v>
      </c>
      <c r="G47" s="94">
        <f>G27/6.5*2*0.12</f>
        <v>171.6</v>
      </c>
      <c r="H47" s="4">
        <f>Composições!G44</f>
        <v>25.126939999999998</v>
      </c>
      <c r="I47" s="3"/>
      <c r="J47" s="4">
        <f t="shared" si="2"/>
        <v>30.65</v>
      </c>
      <c r="K47" s="59">
        <f t="shared" ref="K47:K49" si="6">G47*J47</f>
        <v>5259.54</v>
      </c>
    </row>
    <row r="48" spans="2:11" x14ac:dyDescent="0.25">
      <c r="B48" s="58" t="s">
        <v>172</v>
      </c>
      <c r="C48" s="93" t="s">
        <v>46</v>
      </c>
      <c r="D48" s="93">
        <v>5213440</v>
      </c>
      <c r="E48" s="94" t="s">
        <v>171</v>
      </c>
      <c r="F48" s="94" t="s">
        <v>69</v>
      </c>
      <c r="G48" s="94">
        <v>3</v>
      </c>
      <c r="H48" s="4">
        <v>246.8</v>
      </c>
      <c r="I48" s="94"/>
      <c r="J48" s="4">
        <f t="shared" si="2"/>
        <v>301.10000000000002</v>
      </c>
      <c r="K48" s="59">
        <f t="shared" si="6"/>
        <v>903.30000000000007</v>
      </c>
    </row>
    <row r="49" spans="2:11" ht="15.75" thickBot="1" x14ac:dyDescent="0.3">
      <c r="B49" s="58" t="s">
        <v>173</v>
      </c>
      <c r="C49" s="93" t="s">
        <v>46</v>
      </c>
      <c r="D49" s="93">
        <v>5213855</v>
      </c>
      <c r="E49" s="94" t="s">
        <v>197</v>
      </c>
      <c r="F49" s="94" t="s">
        <v>69</v>
      </c>
      <c r="G49" s="94">
        <v>3</v>
      </c>
      <c r="H49" s="4">
        <v>403.92</v>
      </c>
      <c r="I49" s="3"/>
      <c r="J49" s="4">
        <f t="shared" si="2"/>
        <v>492.78</v>
      </c>
      <c r="K49" s="59">
        <f t="shared" si="6"/>
        <v>1478.34</v>
      </c>
    </row>
    <row r="50" spans="2:11" ht="15" customHeight="1" x14ac:dyDescent="0.25">
      <c r="B50" s="149" t="s">
        <v>130</v>
      </c>
      <c r="C50" s="150"/>
      <c r="D50" s="150"/>
      <c r="E50" s="150"/>
      <c r="F50" s="150"/>
      <c r="G50" s="150"/>
      <c r="H50" s="150"/>
      <c r="I50" s="150"/>
      <c r="J50" s="150"/>
      <c r="K50" s="156">
        <f>K11</f>
        <v>992094.00315475464</v>
      </c>
    </row>
    <row r="51" spans="2:11" ht="21.75" customHeight="1" thickBot="1" x14ac:dyDescent="0.3">
      <c r="B51" s="151"/>
      <c r="C51" s="152"/>
      <c r="D51" s="152"/>
      <c r="E51" s="152"/>
      <c r="F51" s="152"/>
      <c r="G51" s="152"/>
      <c r="H51" s="152"/>
      <c r="I51" s="152"/>
      <c r="J51" s="152"/>
      <c r="K51" s="157"/>
    </row>
    <row r="52" spans="2:11" ht="21.75" customHeight="1" x14ac:dyDescent="0.25">
      <c r="B52" s="62"/>
      <c r="C52" s="63"/>
      <c r="D52" s="63"/>
      <c r="E52" s="63"/>
      <c r="F52" s="63"/>
      <c r="G52" s="63"/>
      <c r="H52" s="63"/>
      <c r="I52" s="63"/>
      <c r="J52" s="63"/>
      <c r="K52" s="64"/>
    </row>
    <row r="53" spans="2:11" ht="21.75" customHeight="1" x14ac:dyDescent="0.25">
      <c r="B53" s="62"/>
      <c r="C53" s="63"/>
      <c r="D53" s="63"/>
      <c r="E53" s="63"/>
      <c r="F53" s="63"/>
      <c r="G53" s="63"/>
      <c r="H53" s="63"/>
      <c r="I53" s="63"/>
      <c r="J53" s="63"/>
      <c r="K53" s="64"/>
    </row>
    <row r="54" spans="2:11" ht="27.75" customHeight="1" x14ac:dyDescent="0.25">
      <c r="B54" s="134" t="s">
        <v>184</v>
      </c>
      <c r="C54" s="135"/>
      <c r="D54" s="135"/>
      <c r="E54" s="135"/>
      <c r="F54" s="135"/>
      <c r="G54" s="135"/>
      <c r="H54" s="135"/>
      <c r="I54" s="135"/>
      <c r="J54" s="60"/>
      <c r="K54" s="16"/>
    </row>
    <row r="55" spans="2:11" ht="17.25" customHeight="1" x14ac:dyDescent="0.25">
      <c r="B55" s="134" t="s">
        <v>185</v>
      </c>
      <c r="C55" s="135"/>
      <c r="D55" s="135"/>
      <c r="E55" s="135"/>
      <c r="F55" s="135"/>
      <c r="G55" s="135"/>
      <c r="H55" s="135"/>
      <c r="I55" s="135"/>
      <c r="J55" s="60"/>
      <c r="K55" s="16"/>
    </row>
    <row r="56" spans="2:11" x14ac:dyDescent="0.25">
      <c r="B56" s="138" t="s">
        <v>205</v>
      </c>
      <c r="C56" s="139"/>
      <c r="D56" s="139"/>
      <c r="E56" s="139"/>
      <c r="F56" s="139"/>
      <c r="G56" s="139"/>
      <c r="H56" s="139"/>
      <c r="I56" s="139"/>
      <c r="J56" s="60"/>
      <c r="K56" s="16"/>
    </row>
    <row r="57" spans="2:11" x14ac:dyDescent="0.25">
      <c r="B57" s="138"/>
      <c r="C57" s="139"/>
      <c r="D57" s="139"/>
      <c r="E57" s="139"/>
      <c r="F57" s="139"/>
      <c r="G57" s="139"/>
      <c r="H57" s="139"/>
      <c r="I57" s="139"/>
      <c r="J57" s="60"/>
      <c r="K57" s="16"/>
    </row>
    <row r="58" spans="2:11" x14ac:dyDescent="0.25">
      <c r="B58" s="138"/>
      <c r="C58" s="139"/>
      <c r="D58" s="139"/>
      <c r="E58" s="139"/>
      <c r="F58" s="139"/>
      <c r="G58" s="139"/>
      <c r="H58" s="139"/>
      <c r="I58" s="139"/>
      <c r="J58" s="60"/>
      <c r="K58" s="16"/>
    </row>
    <row r="59" spans="2:11" ht="20.25" customHeight="1" x14ac:dyDescent="0.25">
      <c r="B59" s="134" t="s">
        <v>186</v>
      </c>
      <c r="C59" s="135"/>
      <c r="D59" s="135"/>
      <c r="E59" s="135"/>
      <c r="F59" s="135"/>
      <c r="G59" s="135"/>
      <c r="H59" s="135"/>
      <c r="I59" s="135"/>
      <c r="J59" s="60"/>
      <c r="K59" s="16"/>
    </row>
    <row r="60" spans="2:11" ht="22.5" customHeight="1" thickBot="1" x14ac:dyDescent="0.3">
      <c r="B60" s="136" t="s">
        <v>188</v>
      </c>
      <c r="C60" s="137"/>
      <c r="D60" s="137"/>
      <c r="E60" s="137"/>
      <c r="F60" s="137"/>
      <c r="G60" s="137"/>
      <c r="H60" s="137"/>
      <c r="I60" s="137"/>
      <c r="J60" s="61"/>
      <c r="K60" s="17"/>
    </row>
    <row r="61" spans="2:11" x14ac:dyDescent="0.25">
      <c r="G61" s="96"/>
    </row>
  </sheetData>
  <mergeCells count="16">
    <mergeCell ref="D4:K4"/>
    <mergeCell ref="B59:I59"/>
    <mergeCell ref="B60:I60"/>
    <mergeCell ref="B56:I58"/>
    <mergeCell ref="B2:K2"/>
    <mergeCell ref="D3:K3"/>
    <mergeCell ref="B3:C3"/>
    <mergeCell ref="B4:C4"/>
    <mergeCell ref="D5:K5"/>
    <mergeCell ref="B7:C7"/>
    <mergeCell ref="B6:C6"/>
    <mergeCell ref="B50:J51"/>
    <mergeCell ref="B10:K10"/>
    <mergeCell ref="K50:K51"/>
    <mergeCell ref="B54:I54"/>
    <mergeCell ref="B55:I55"/>
  </mergeCells>
  <pageMargins left="0.511811024" right="0.511811024" top="0.78740157499999996" bottom="0.78740157499999996" header="0.31496062000000002" footer="0.31496062000000002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8"/>
  <sheetViews>
    <sheetView topLeftCell="C1" zoomScale="70" zoomScaleNormal="70" workbookViewId="0">
      <selection activeCell="G9" sqref="G9"/>
    </sheetView>
  </sheetViews>
  <sheetFormatPr defaultRowHeight="15" x14ac:dyDescent="0.25"/>
  <cols>
    <col min="1" max="1" width="9.140625" style="91"/>
    <col min="2" max="2" width="15.140625" style="91" bestFit="1" customWidth="1"/>
    <col min="3" max="3" width="10.42578125" style="91" customWidth="1"/>
    <col min="4" max="4" width="128.42578125" style="91" bestFit="1" customWidth="1"/>
    <col min="5" max="5" width="9.140625" style="91"/>
    <col min="6" max="6" width="9.28515625" style="91" bestFit="1" customWidth="1"/>
    <col min="7" max="7" width="14" style="1" customWidth="1"/>
    <col min="8" max="9" width="9.140625" style="91"/>
    <col min="10" max="10" width="11.85546875" style="15" bestFit="1" customWidth="1"/>
    <col min="11" max="16384" width="9.140625" style="91"/>
  </cols>
  <sheetData>
    <row r="1" spans="2:10" ht="15.75" thickBot="1" x14ac:dyDescent="0.3"/>
    <row r="2" spans="2:10" x14ac:dyDescent="0.25">
      <c r="B2" s="158" t="s">
        <v>128</v>
      </c>
      <c r="C2" s="159"/>
      <c r="D2" s="159"/>
      <c r="E2" s="159"/>
      <c r="F2" s="159"/>
      <c r="G2" s="160"/>
    </row>
    <row r="3" spans="2:10" x14ac:dyDescent="0.25">
      <c r="B3" s="161"/>
      <c r="C3" s="162"/>
      <c r="D3" s="162"/>
      <c r="E3" s="162"/>
      <c r="F3" s="162"/>
      <c r="G3" s="163"/>
    </row>
    <row r="4" spans="2:10" x14ac:dyDescent="0.25">
      <c r="B4" s="164" t="s">
        <v>201</v>
      </c>
      <c r="C4" s="165"/>
      <c r="D4" s="166"/>
      <c r="E4" s="170" t="s">
        <v>129</v>
      </c>
      <c r="F4" s="171"/>
      <c r="G4" s="174">
        <f ca="1">TODAY()</f>
        <v>45257</v>
      </c>
    </row>
    <row r="5" spans="2:10" ht="15.75" thickBot="1" x14ac:dyDescent="0.3">
      <c r="B5" s="167"/>
      <c r="C5" s="168"/>
      <c r="D5" s="169"/>
      <c r="E5" s="172"/>
      <c r="F5" s="173"/>
      <c r="G5" s="175"/>
    </row>
    <row r="6" spans="2:10" x14ac:dyDescent="0.25">
      <c r="B6" s="97"/>
      <c r="G6" s="16"/>
    </row>
    <row r="7" spans="2:10" ht="15.75" x14ac:dyDescent="0.25">
      <c r="B7" s="24" t="s">
        <v>43</v>
      </c>
      <c r="C7" s="18">
        <v>1</v>
      </c>
      <c r="D7" s="18" t="s">
        <v>44</v>
      </c>
      <c r="E7" s="18" t="s">
        <v>45</v>
      </c>
      <c r="F7" s="18"/>
      <c r="G7" s="25">
        <f>SUM(J8:J14)</f>
        <v>340.25110000000001</v>
      </c>
    </row>
    <row r="8" spans="2:10" ht="15.75" x14ac:dyDescent="0.25">
      <c r="B8" s="26" t="s">
        <v>46</v>
      </c>
      <c r="C8" s="19" t="s">
        <v>47</v>
      </c>
      <c r="D8" s="20" t="s">
        <v>48</v>
      </c>
      <c r="E8" s="21" t="s">
        <v>49</v>
      </c>
      <c r="F8" s="21">
        <v>1</v>
      </c>
      <c r="G8" s="27">
        <v>2.0131000000000001</v>
      </c>
      <c r="J8" s="15">
        <f>F8*G8</f>
        <v>2.0131000000000001</v>
      </c>
    </row>
    <row r="9" spans="2:10" ht="15.75" x14ac:dyDescent="0.25">
      <c r="B9" s="26" t="s">
        <v>46</v>
      </c>
      <c r="C9" s="19" t="s">
        <v>50</v>
      </c>
      <c r="D9" s="20" t="s">
        <v>51</v>
      </c>
      <c r="E9" s="21" t="s">
        <v>49</v>
      </c>
      <c r="F9" s="21">
        <v>4</v>
      </c>
      <c r="G9" s="27">
        <v>4.6341000000000001</v>
      </c>
      <c r="J9" s="15">
        <f t="shared" ref="J9:J14" si="0">F9*G9</f>
        <v>18.5364</v>
      </c>
    </row>
    <row r="10" spans="2:10" ht="15.75" x14ac:dyDescent="0.25">
      <c r="B10" s="26" t="s">
        <v>52</v>
      </c>
      <c r="C10" s="19">
        <v>4813</v>
      </c>
      <c r="D10" s="20" t="s">
        <v>53</v>
      </c>
      <c r="E10" s="21" t="s">
        <v>45</v>
      </c>
      <c r="F10" s="21">
        <v>1</v>
      </c>
      <c r="G10" s="27">
        <v>250</v>
      </c>
      <c r="J10" s="15">
        <f t="shared" si="0"/>
        <v>250</v>
      </c>
    </row>
    <row r="11" spans="2:10" ht="15.75" x14ac:dyDescent="0.25">
      <c r="B11" s="26" t="s">
        <v>46</v>
      </c>
      <c r="C11" s="19" t="s">
        <v>54</v>
      </c>
      <c r="D11" s="20" t="s">
        <v>55</v>
      </c>
      <c r="E11" s="21" t="s">
        <v>56</v>
      </c>
      <c r="F11" s="21">
        <v>0.11</v>
      </c>
      <c r="G11" s="27">
        <v>15.87</v>
      </c>
      <c r="J11" s="15">
        <f t="shared" si="0"/>
        <v>1.7457</v>
      </c>
    </row>
    <row r="12" spans="2:10" ht="15.75" x14ac:dyDescent="0.25">
      <c r="B12" s="26" t="s">
        <v>46</v>
      </c>
      <c r="C12" s="19" t="s">
        <v>57</v>
      </c>
      <c r="D12" s="20" t="s">
        <v>58</v>
      </c>
      <c r="E12" s="21" t="s">
        <v>59</v>
      </c>
      <c r="F12" s="21">
        <v>1</v>
      </c>
      <c r="G12" s="27">
        <v>24.83</v>
      </c>
      <c r="J12" s="15">
        <f t="shared" si="0"/>
        <v>24.83</v>
      </c>
    </row>
    <row r="13" spans="2:10" ht="15.75" x14ac:dyDescent="0.25">
      <c r="B13" s="26" t="s">
        <v>46</v>
      </c>
      <c r="C13" s="19" t="s">
        <v>60</v>
      </c>
      <c r="D13" s="20" t="s">
        <v>61</v>
      </c>
      <c r="E13" s="21" t="s">
        <v>59</v>
      </c>
      <c r="F13" s="21">
        <v>2</v>
      </c>
      <c r="G13" s="27">
        <v>19.37</v>
      </c>
      <c r="J13" s="15">
        <f t="shared" si="0"/>
        <v>38.74</v>
      </c>
    </row>
    <row r="14" spans="2:10" ht="15.75" x14ac:dyDescent="0.25">
      <c r="B14" s="26" t="s">
        <v>46</v>
      </c>
      <c r="C14" s="19">
        <v>1106057</v>
      </c>
      <c r="D14" s="20" t="s">
        <v>62</v>
      </c>
      <c r="E14" s="21" t="s">
        <v>63</v>
      </c>
      <c r="F14" s="21">
        <v>0.01</v>
      </c>
      <c r="G14" s="27">
        <v>438.59</v>
      </c>
      <c r="J14" s="15">
        <f t="shared" si="0"/>
        <v>4.3858999999999995</v>
      </c>
    </row>
    <row r="15" spans="2:10" ht="15.75" x14ac:dyDescent="0.25">
      <c r="B15" s="28"/>
      <c r="C15" s="29"/>
      <c r="D15" s="29"/>
      <c r="E15" s="29"/>
      <c r="F15" s="29"/>
      <c r="G15" s="30"/>
    </row>
    <row r="16" spans="2:10" ht="15.75" x14ac:dyDescent="0.25">
      <c r="B16" s="24" t="s">
        <v>64</v>
      </c>
      <c r="C16" s="18">
        <v>2</v>
      </c>
      <c r="D16" s="22" t="s">
        <v>65</v>
      </c>
      <c r="E16" s="18" t="s">
        <v>69</v>
      </c>
      <c r="F16" s="22"/>
      <c r="G16" s="31">
        <f>SUM(J17:J20)</f>
        <v>4415.4000000000005</v>
      </c>
    </row>
    <row r="17" spans="2:10" ht="15.75" x14ac:dyDescent="0.25">
      <c r="B17" s="26" t="s">
        <v>46</v>
      </c>
      <c r="C17" s="19">
        <v>5915495</v>
      </c>
      <c r="D17" s="23" t="s">
        <v>68</v>
      </c>
      <c r="E17" s="21" t="s">
        <v>127</v>
      </c>
      <c r="F17" s="21">
        <v>45</v>
      </c>
      <c r="G17" s="32">
        <v>24.53</v>
      </c>
      <c r="J17" s="15">
        <f>F17*G17</f>
        <v>1103.8500000000001</v>
      </c>
    </row>
    <row r="18" spans="2:10" ht="15.75" x14ac:dyDescent="0.25">
      <c r="B18" s="26" t="s">
        <v>46</v>
      </c>
      <c r="C18" s="19">
        <v>5915495</v>
      </c>
      <c r="D18" s="23" t="s">
        <v>68</v>
      </c>
      <c r="E18" s="21" t="s">
        <v>127</v>
      </c>
      <c r="F18" s="21">
        <v>45</v>
      </c>
      <c r="G18" s="32">
        <v>24.53</v>
      </c>
      <c r="J18" s="15">
        <f t="shared" ref="J18:J20" si="1">F18*G18</f>
        <v>1103.8500000000001</v>
      </c>
    </row>
    <row r="19" spans="2:10" ht="15.75" x14ac:dyDescent="0.25">
      <c r="B19" s="26" t="s">
        <v>46</v>
      </c>
      <c r="C19" s="19">
        <v>5915495</v>
      </c>
      <c r="D19" s="23" t="s">
        <v>68</v>
      </c>
      <c r="E19" s="21" t="s">
        <v>127</v>
      </c>
      <c r="F19" s="21">
        <v>45</v>
      </c>
      <c r="G19" s="32">
        <v>24.53</v>
      </c>
      <c r="J19" s="15">
        <f t="shared" si="1"/>
        <v>1103.8500000000001</v>
      </c>
    </row>
    <row r="20" spans="2:10" ht="15.75" x14ac:dyDescent="0.25">
      <c r="B20" s="26" t="s">
        <v>46</v>
      </c>
      <c r="C20" s="19">
        <v>5915495</v>
      </c>
      <c r="D20" s="23" t="s">
        <v>68</v>
      </c>
      <c r="E20" s="21" t="s">
        <v>127</v>
      </c>
      <c r="F20" s="21">
        <v>45</v>
      </c>
      <c r="G20" s="32">
        <v>24.53</v>
      </c>
      <c r="J20" s="15">
        <f t="shared" si="1"/>
        <v>1103.8500000000001</v>
      </c>
    </row>
    <row r="21" spans="2:10" ht="15.75" x14ac:dyDescent="0.25">
      <c r="B21" s="28"/>
      <c r="C21" s="33"/>
      <c r="D21" s="29"/>
      <c r="E21" s="29"/>
      <c r="F21" s="29"/>
      <c r="G21" s="30"/>
    </row>
    <row r="22" spans="2:10" ht="15.75" x14ac:dyDescent="0.25">
      <c r="B22" s="24" t="s">
        <v>64</v>
      </c>
      <c r="C22" s="18">
        <v>3</v>
      </c>
      <c r="D22" s="22" t="s">
        <v>70</v>
      </c>
      <c r="E22" s="18" t="s">
        <v>69</v>
      </c>
      <c r="F22" s="22"/>
      <c r="G22" s="31">
        <f>SUM(J23:J26)</f>
        <v>4415.4000000000005</v>
      </c>
    </row>
    <row r="23" spans="2:10" ht="15.75" x14ac:dyDescent="0.25">
      <c r="B23" s="26" t="s">
        <v>46</v>
      </c>
      <c r="C23" s="19">
        <v>5915495</v>
      </c>
      <c r="D23" s="23" t="s">
        <v>68</v>
      </c>
      <c r="E23" s="21" t="s">
        <v>127</v>
      </c>
      <c r="F23" s="21">
        <v>45</v>
      </c>
      <c r="G23" s="32">
        <v>24.53</v>
      </c>
      <c r="J23" s="15">
        <f>F23*G23</f>
        <v>1103.8500000000001</v>
      </c>
    </row>
    <row r="24" spans="2:10" ht="15.75" x14ac:dyDescent="0.25">
      <c r="B24" s="26" t="s">
        <v>46</v>
      </c>
      <c r="C24" s="19">
        <v>5915495</v>
      </c>
      <c r="D24" s="23" t="s">
        <v>68</v>
      </c>
      <c r="E24" s="21" t="s">
        <v>127</v>
      </c>
      <c r="F24" s="21">
        <v>45</v>
      </c>
      <c r="G24" s="32">
        <v>24.53</v>
      </c>
      <c r="J24" s="15">
        <f t="shared" ref="J24:J26" si="2">F24*G24</f>
        <v>1103.8500000000001</v>
      </c>
    </row>
    <row r="25" spans="2:10" ht="15.75" x14ac:dyDescent="0.25">
      <c r="B25" s="26" t="s">
        <v>46</v>
      </c>
      <c r="C25" s="19">
        <v>5915495</v>
      </c>
      <c r="D25" s="23" t="s">
        <v>68</v>
      </c>
      <c r="E25" s="21" t="s">
        <v>127</v>
      </c>
      <c r="F25" s="21">
        <v>45</v>
      </c>
      <c r="G25" s="32">
        <v>24.53</v>
      </c>
      <c r="J25" s="15">
        <f t="shared" si="2"/>
        <v>1103.8500000000001</v>
      </c>
    </row>
    <row r="26" spans="2:10" ht="15.75" x14ac:dyDescent="0.25">
      <c r="B26" s="26" t="s">
        <v>46</v>
      </c>
      <c r="C26" s="19">
        <v>5915495</v>
      </c>
      <c r="D26" s="23" t="s">
        <v>68</v>
      </c>
      <c r="E26" s="21" t="s">
        <v>127</v>
      </c>
      <c r="F26" s="21">
        <v>45</v>
      </c>
      <c r="G26" s="32">
        <v>24.53</v>
      </c>
      <c r="J26" s="15">
        <f t="shared" si="2"/>
        <v>1103.8500000000001</v>
      </c>
    </row>
    <row r="27" spans="2:10" ht="15.75" x14ac:dyDescent="0.25">
      <c r="B27" s="28"/>
      <c r="C27" s="29"/>
      <c r="D27" s="29"/>
      <c r="E27" s="29"/>
      <c r="F27" s="29"/>
      <c r="G27" s="30"/>
    </row>
    <row r="28" spans="2:10" ht="15.75" x14ac:dyDescent="0.25">
      <c r="B28" s="24" t="s">
        <v>64</v>
      </c>
      <c r="C28" s="18">
        <v>4</v>
      </c>
      <c r="D28" s="22" t="s">
        <v>75</v>
      </c>
      <c r="E28" s="18" t="s">
        <v>49</v>
      </c>
      <c r="F28" s="22"/>
      <c r="G28" s="31">
        <f>SUM(J29:J34)</f>
        <v>167.64905999999996</v>
      </c>
    </row>
    <row r="29" spans="2:10" ht="15.75" x14ac:dyDescent="0.25">
      <c r="B29" s="26" t="s">
        <v>46</v>
      </c>
      <c r="C29" s="19" t="s">
        <v>74</v>
      </c>
      <c r="D29" s="23" t="s">
        <v>76</v>
      </c>
      <c r="E29" s="21" t="s">
        <v>49</v>
      </c>
      <c r="F29" s="21">
        <v>1</v>
      </c>
      <c r="G29" s="27">
        <v>116.33</v>
      </c>
      <c r="J29" s="15">
        <f>G29*F29</f>
        <v>116.33</v>
      </c>
    </row>
    <row r="30" spans="2:10" ht="15.75" x14ac:dyDescent="0.25">
      <c r="B30" s="26" t="s">
        <v>46</v>
      </c>
      <c r="C30" s="19" t="s">
        <v>60</v>
      </c>
      <c r="D30" s="23" t="s">
        <v>61</v>
      </c>
      <c r="E30" s="21" t="s">
        <v>59</v>
      </c>
      <c r="F30" s="21">
        <v>0.69199999999999995</v>
      </c>
      <c r="G30" s="27">
        <v>19.37</v>
      </c>
      <c r="J30" s="15">
        <f t="shared" ref="J30:J34" si="3">G30*F30</f>
        <v>13.40404</v>
      </c>
    </row>
    <row r="31" spans="2:10" ht="15.75" x14ac:dyDescent="0.25">
      <c r="B31" s="26" t="s">
        <v>46</v>
      </c>
      <c r="C31" s="19">
        <v>1109669</v>
      </c>
      <c r="D31" s="23" t="s">
        <v>77</v>
      </c>
      <c r="E31" s="21" t="s">
        <v>63</v>
      </c>
      <c r="F31" s="21">
        <v>2E-3</v>
      </c>
      <c r="G31" s="27">
        <v>503.74</v>
      </c>
      <c r="J31" s="15">
        <f t="shared" si="3"/>
        <v>1.0074799999999999</v>
      </c>
    </row>
    <row r="32" spans="2:10" ht="15.75" x14ac:dyDescent="0.25">
      <c r="B32" s="26" t="s">
        <v>67</v>
      </c>
      <c r="C32" s="19">
        <v>5631</v>
      </c>
      <c r="D32" s="23" t="s">
        <v>78</v>
      </c>
      <c r="E32" s="21" t="s">
        <v>79</v>
      </c>
      <c r="F32" s="21">
        <v>7.3999999999999996E-2</v>
      </c>
      <c r="G32" s="27">
        <v>221.47</v>
      </c>
      <c r="J32" s="15">
        <f t="shared" si="3"/>
        <v>16.388780000000001</v>
      </c>
    </row>
    <row r="33" spans="2:10" ht="15.75" x14ac:dyDescent="0.25">
      <c r="B33" s="26" t="s">
        <v>67</v>
      </c>
      <c r="C33" s="19">
        <v>5632</v>
      </c>
      <c r="D33" s="23" t="s">
        <v>78</v>
      </c>
      <c r="E33" s="21" t="s">
        <v>80</v>
      </c>
      <c r="F33" s="21">
        <v>0.155</v>
      </c>
      <c r="G33" s="27">
        <v>94.52</v>
      </c>
      <c r="J33" s="15">
        <f t="shared" si="3"/>
        <v>14.650599999999999</v>
      </c>
    </row>
    <row r="34" spans="2:10" ht="15.75" x14ac:dyDescent="0.25">
      <c r="B34" s="26" t="s">
        <v>67</v>
      </c>
      <c r="C34" s="19">
        <v>88246</v>
      </c>
      <c r="D34" s="23" t="s">
        <v>81</v>
      </c>
      <c r="E34" s="21" t="s">
        <v>59</v>
      </c>
      <c r="F34" s="21">
        <v>0.34599999999999997</v>
      </c>
      <c r="G34" s="27">
        <v>16.96</v>
      </c>
      <c r="J34" s="15">
        <f t="shared" si="3"/>
        <v>5.8681599999999996</v>
      </c>
    </row>
    <row r="35" spans="2:10" ht="15.75" x14ac:dyDescent="0.25">
      <c r="B35" s="28"/>
      <c r="C35" s="29"/>
      <c r="D35" s="29"/>
      <c r="E35" s="29"/>
      <c r="F35" s="29"/>
      <c r="G35" s="30"/>
    </row>
    <row r="36" spans="2:10" ht="15.75" x14ac:dyDescent="0.25">
      <c r="B36" s="24" t="s">
        <v>43</v>
      </c>
      <c r="C36" s="18">
        <v>5</v>
      </c>
      <c r="D36" s="22" t="s">
        <v>90</v>
      </c>
      <c r="E36" s="18" t="s">
        <v>45</v>
      </c>
      <c r="F36" s="22"/>
      <c r="G36" s="25">
        <f>SUM(J37:J42)</f>
        <v>25.126939999999998</v>
      </c>
    </row>
    <row r="37" spans="2:10" ht="15.75" x14ac:dyDescent="0.25">
      <c r="B37" s="26" t="s">
        <v>46</v>
      </c>
      <c r="C37" s="19" t="s">
        <v>87</v>
      </c>
      <c r="D37" s="23" t="s">
        <v>88</v>
      </c>
      <c r="E37" s="21" t="s">
        <v>89</v>
      </c>
      <c r="F37" s="21">
        <v>2.1000000000000001E-2</v>
      </c>
      <c r="G37" s="34">
        <v>14.48</v>
      </c>
      <c r="J37" s="15">
        <f>G37*F37</f>
        <v>0.30408000000000002</v>
      </c>
    </row>
    <row r="38" spans="2:10" ht="15.75" x14ac:dyDescent="0.25">
      <c r="B38" s="26" t="s">
        <v>46</v>
      </c>
      <c r="C38" s="19" t="s">
        <v>91</v>
      </c>
      <c r="D38" s="23" t="s">
        <v>92</v>
      </c>
      <c r="E38" s="21" t="s">
        <v>89</v>
      </c>
      <c r="F38" s="21">
        <v>0.42699999999999999</v>
      </c>
      <c r="G38" s="34">
        <v>22.57</v>
      </c>
      <c r="J38" s="15">
        <f t="shared" ref="J38:J42" si="4">G38*F38</f>
        <v>9.6373899999999999</v>
      </c>
    </row>
    <row r="39" spans="2:10" ht="15.75" x14ac:dyDescent="0.25">
      <c r="B39" s="26" t="s">
        <v>46</v>
      </c>
      <c r="C39" s="19" t="s">
        <v>93</v>
      </c>
      <c r="D39" s="23" t="s">
        <v>95</v>
      </c>
      <c r="E39" s="21" t="s">
        <v>56</v>
      </c>
      <c r="F39" s="21">
        <v>0.11</v>
      </c>
      <c r="G39" s="34">
        <v>10.18</v>
      </c>
      <c r="J39" s="15">
        <f t="shared" si="4"/>
        <v>1.1197999999999999</v>
      </c>
    </row>
    <row r="40" spans="2:10" ht="15.75" x14ac:dyDescent="0.25">
      <c r="B40" s="26" t="s">
        <v>46</v>
      </c>
      <c r="C40" s="19" t="s">
        <v>94</v>
      </c>
      <c r="D40" s="23" t="s">
        <v>96</v>
      </c>
      <c r="E40" s="21" t="s">
        <v>56</v>
      </c>
      <c r="F40" s="21">
        <v>0.25</v>
      </c>
      <c r="G40" s="34">
        <v>10.42</v>
      </c>
      <c r="J40" s="15">
        <f t="shared" si="4"/>
        <v>2.605</v>
      </c>
    </row>
    <row r="41" spans="2:10" ht="15.75" x14ac:dyDescent="0.25">
      <c r="B41" s="26" t="s">
        <v>46</v>
      </c>
      <c r="C41" s="19" t="s">
        <v>60</v>
      </c>
      <c r="D41" s="23" t="s">
        <v>61</v>
      </c>
      <c r="E41" s="21" t="s">
        <v>59</v>
      </c>
      <c r="F41" s="21">
        <v>0.151</v>
      </c>
      <c r="G41" s="34">
        <v>19.37</v>
      </c>
      <c r="J41" s="15">
        <f t="shared" si="4"/>
        <v>2.9248699999999999</v>
      </c>
    </row>
    <row r="42" spans="2:10" ht="15.75" x14ac:dyDescent="0.25">
      <c r="B42" s="26" t="s">
        <v>46</v>
      </c>
      <c r="C42" s="19" t="s">
        <v>98</v>
      </c>
      <c r="D42" s="23" t="s">
        <v>97</v>
      </c>
      <c r="E42" s="21" t="s">
        <v>59</v>
      </c>
      <c r="F42" s="21">
        <v>0.36399999999999999</v>
      </c>
      <c r="G42" s="34">
        <v>23.45</v>
      </c>
      <c r="J42" s="15">
        <f t="shared" si="4"/>
        <v>8.5358000000000001</v>
      </c>
    </row>
    <row r="43" spans="2:10" ht="15.75" x14ac:dyDescent="0.25">
      <c r="B43" s="28"/>
      <c r="C43" s="29"/>
      <c r="D43" s="29"/>
      <c r="E43" s="29"/>
      <c r="F43" s="29"/>
      <c r="G43" s="30"/>
    </row>
    <row r="44" spans="2:10" ht="15.75" x14ac:dyDescent="0.25">
      <c r="B44" s="24" t="s">
        <v>43</v>
      </c>
      <c r="C44" s="18">
        <v>6</v>
      </c>
      <c r="D44" s="22" t="s">
        <v>99</v>
      </c>
      <c r="E44" s="18" t="s">
        <v>45</v>
      </c>
      <c r="F44" s="22"/>
      <c r="G44" s="25">
        <f>SUM(J45:J50)</f>
        <v>25.126939999999998</v>
      </c>
    </row>
    <row r="45" spans="2:10" ht="15.75" x14ac:dyDescent="0.25">
      <c r="B45" s="26" t="s">
        <v>46</v>
      </c>
      <c r="C45" s="19" t="s">
        <v>87</v>
      </c>
      <c r="D45" s="23" t="s">
        <v>88</v>
      </c>
      <c r="E45" s="21" t="s">
        <v>89</v>
      </c>
      <c r="F45" s="21">
        <v>2.1000000000000001E-2</v>
      </c>
      <c r="G45" s="34">
        <v>14.48</v>
      </c>
      <c r="J45" s="15">
        <f>G45*F45</f>
        <v>0.30408000000000002</v>
      </c>
    </row>
    <row r="46" spans="2:10" ht="15.75" x14ac:dyDescent="0.25">
      <c r="B46" s="26" t="s">
        <v>46</v>
      </c>
      <c r="C46" s="19" t="s">
        <v>91</v>
      </c>
      <c r="D46" s="23" t="s">
        <v>92</v>
      </c>
      <c r="E46" s="21" t="s">
        <v>89</v>
      </c>
      <c r="F46" s="21">
        <v>0.42699999999999999</v>
      </c>
      <c r="G46" s="34">
        <v>22.57</v>
      </c>
      <c r="J46" s="15">
        <f t="shared" ref="J46:J50" si="5">G46*F46</f>
        <v>9.6373899999999999</v>
      </c>
    </row>
    <row r="47" spans="2:10" ht="15.75" x14ac:dyDescent="0.25">
      <c r="B47" s="26" t="s">
        <v>46</v>
      </c>
      <c r="C47" s="19" t="s">
        <v>93</v>
      </c>
      <c r="D47" s="23" t="s">
        <v>95</v>
      </c>
      <c r="E47" s="21" t="s">
        <v>56</v>
      </c>
      <c r="F47" s="21">
        <v>0.11</v>
      </c>
      <c r="G47" s="34">
        <v>10.18</v>
      </c>
      <c r="J47" s="15">
        <f t="shared" si="5"/>
        <v>1.1197999999999999</v>
      </c>
    </row>
    <row r="48" spans="2:10" ht="15.75" x14ac:dyDescent="0.25">
      <c r="B48" s="26" t="s">
        <v>46</v>
      </c>
      <c r="C48" s="19" t="s">
        <v>94</v>
      </c>
      <c r="D48" s="23" t="s">
        <v>96</v>
      </c>
      <c r="E48" s="21" t="s">
        <v>56</v>
      </c>
      <c r="F48" s="21">
        <v>0.25</v>
      </c>
      <c r="G48" s="34">
        <v>10.42</v>
      </c>
      <c r="J48" s="15">
        <f t="shared" si="5"/>
        <v>2.605</v>
      </c>
    </row>
    <row r="49" spans="2:10" ht="15.75" x14ac:dyDescent="0.25">
      <c r="B49" s="26" t="s">
        <v>46</v>
      </c>
      <c r="C49" s="19" t="s">
        <v>60</v>
      </c>
      <c r="D49" s="23" t="s">
        <v>61</v>
      </c>
      <c r="E49" s="21" t="s">
        <v>59</v>
      </c>
      <c r="F49" s="21">
        <v>0.151</v>
      </c>
      <c r="G49" s="34">
        <v>19.37</v>
      </c>
      <c r="J49" s="15">
        <f t="shared" si="5"/>
        <v>2.9248699999999999</v>
      </c>
    </row>
    <row r="50" spans="2:10" ht="15.75" x14ac:dyDescent="0.25">
      <c r="B50" s="26" t="s">
        <v>46</v>
      </c>
      <c r="C50" s="19" t="s">
        <v>98</v>
      </c>
      <c r="D50" s="23" t="s">
        <v>97</v>
      </c>
      <c r="E50" s="21" t="s">
        <v>59</v>
      </c>
      <c r="F50" s="21">
        <v>0.36399999999999999</v>
      </c>
      <c r="G50" s="34">
        <v>23.45</v>
      </c>
      <c r="J50" s="15">
        <f t="shared" si="5"/>
        <v>8.5358000000000001</v>
      </c>
    </row>
    <row r="51" spans="2:10" ht="15.75" x14ac:dyDescent="0.25">
      <c r="B51" s="28"/>
      <c r="C51" s="29"/>
      <c r="D51" s="29"/>
      <c r="E51" s="29"/>
      <c r="F51" s="29"/>
      <c r="G51" s="30"/>
    </row>
    <row r="52" spans="2:10" ht="15.75" x14ac:dyDescent="0.25">
      <c r="B52" s="24" t="s">
        <v>43</v>
      </c>
      <c r="C52" s="18">
        <v>7</v>
      </c>
      <c r="D52" s="22" t="s">
        <v>169</v>
      </c>
      <c r="E52" s="18" t="s">
        <v>45</v>
      </c>
      <c r="F52" s="22"/>
      <c r="G52" s="25">
        <f>SUM(J53:J58)</f>
        <v>25.126939999999998</v>
      </c>
    </row>
    <row r="53" spans="2:10" ht="15.75" x14ac:dyDescent="0.25">
      <c r="B53" s="26" t="s">
        <v>46</v>
      </c>
      <c r="C53" s="19" t="s">
        <v>87</v>
      </c>
      <c r="D53" s="23" t="s">
        <v>88</v>
      </c>
      <c r="E53" s="21" t="s">
        <v>89</v>
      </c>
      <c r="F53" s="21">
        <v>2.1000000000000001E-2</v>
      </c>
      <c r="G53" s="34">
        <v>14.48</v>
      </c>
      <c r="J53" s="15">
        <f>G53*F53</f>
        <v>0.30408000000000002</v>
      </c>
    </row>
    <row r="54" spans="2:10" ht="15.75" x14ac:dyDescent="0.25">
      <c r="B54" s="26" t="s">
        <v>46</v>
      </c>
      <c r="C54" s="19" t="s">
        <v>91</v>
      </c>
      <c r="D54" s="23" t="s">
        <v>92</v>
      </c>
      <c r="E54" s="21" t="s">
        <v>89</v>
      </c>
      <c r="F54" s="21">
        <v>0.42699999999999999</v>
      </c>
      <c r="G54" s="34">
        <v>22.57</v>
      </c>
      <c r="J54" s="15">
        <f t="shared" ref="J54:J58" si="6">G54*F54</f>
        <v>9.6373899999999999</v>
      </c>
    </row>
    <row r="55" spans="2:10" ht="15.75" x14ac:dyDescent="0.25">
      <c r="B55" s="26" t="s">
        <v>46</v>
      </c>
      <c r="C55" s="19" t="s">
        <v>93</v>
      </c>
      <c r="D55" s="23" t="s">
        <v>95</v>
      </c>
      <c r="E55" s="21" t="s">
        <v>56</v>
      </c>
      <c r="F55" s="21">
        <v>0.11</v>
      </c>
      <c r="G55" s="34">
        <v>10.18</v>
      </c>
      <c r="J55" s="15">
        <f t="shared" si="6"/>
        <v>1.1197999999999999</v>
      </c>
    </row>
    <row r="56" spans="2:10" ht="15.75" x14ac:dyDescent="0.25">
      <c r="B56" s="26" t="s">
        <v>46</v>
      </c>
      <c r="C56" s="19" t="s">
        <v>94</v>
      </c>
      <c r="D56" s="23" t="s">
        <v>96</v>
      </c>
      <c r="E56" s="21" t="s">
        <v>56</v>
      </c>
      <c r="F56" s="21">
        <v>0.25</v>
      </c>
      <c r="G56" s="34">
        <v>10.42</v>
      </c>
      <c r="J56" s="15">
        <f t="shared" si="6"/>
        <v>2.605</v>
      </c>
    </row>
    <row r="57" spans="2:10" ht="15.75" x14ac:dyDescent="0.25">
      <c r="B57" s="26" t="s">
        <v>46</v>
      </c>
      <c r="C57" s="19" t="s">
        <v>60</v>
      </c>
      <c r="D57" s="23" t="s">
        <v>61</v>
      </c>
      <c r="E57" s="21" t="s">
        <v>59</v>
      </c>
      <c r="F57" s="21">
        <v>0.151</v>
      </c>
      <c r="G57" s="34">
        <v>19.37</v>
      </c>
      <c r="J57" s="15">
        <f t="shared" si="6"/>
        <v>2.9248699999999999</v>
      </c>
    </row>
    <row r="58" spans="2:10" ht="15.75" x14ac:dyDescent="0.25">
      <c r="B58" s="26" t="s">
        <v>46</v>
      </c>
      <c r="C58" s="19" t="s">
        <v>98</v>
      </c>
      <c r="D58" s="23" t="s">
        <v>97</v>
      </c>
      <c r="E58" s="21" t="s">
        <v>59</v>
      </c>
      <c r="F58" s="21">
        <v>0.36399999999999999</v>
      </c>
      <c r="G58" s="34">
        <v>23.45</v>
      </c>
      <c r="J58" s="15">
        <f t="shared" si="6"/>
        <v>8.5358000000000001</v>
      </c>
    </row>
    <row r="59" spans="2:10" ht="15.75" x14ac:dyDescent="0.25">
      <c r="B59" s="28"/>
      <c r="C59" s="29"/>
      <c r="D59" s="29"/>
      <c r="E59" s="29"/>
      <c r="F59" s="29"/>
      <c r="G59" s="30"/>
    </row>
    <row r="60" spans="2:10" ht="15.75" x14ac:dyDescent="0.25">
      <c r="B60" s="24" t="s">
        <v>43</v>
      </c>
      <c r="C60" s="18">
        <v>8</v>
      </c>
      <c r="D60" s="22" t="s">
        <v>100</v>
      </c>
      <c r="E60" s="18" t="s">
        <v>45</v>
      </c>
      <c r="F60" s="22"/>
      <c r="G60" s="25">
        <f>SUM(J61:J68)</f>
        <v>8.8145555000000009</v>
      </c>
    </row>
    <row r="61" spans="2:10" ht="15.75" x14ac:dyDescent="0.25">
      <c r="B61" s="26" t="s">
        <v>46</v>
      </c>
      <c r="C61" s="19" t="s">
        <v>101</v>
      </c>
      <c r="D61" s="23" t="s">
        <v>198</v>
      </c>
      <c r="E61" s="21" t="s">
        <v>69</v>
      </c>
      <c r="F61" s="21">
        <v>2E-3</v>
      </c>
      <c r="G61" s="34">
        <v>10.5547</v>
      </c>
      <c r="J61" s="15">
        <f>G61*F61</f>
        <v>2.11094E-2</v>
      </c>
    </row>
    <row r="62" spans="2:10" ht="15.75" x14ac:dyDescent="0.25">
      <c r="B62" s="26" t="s">
        <v>46</v>
      </c>
      <c r="C62" s="19" t="s">
        <v>101</v>
      </c>
      <c r="D62" s="23" t="s">
        <v>199</v>
      </c>
      <c r="E62" s="21" t="s">
        <v>69</v>
      </c>
      <c r="F62" s="21">
        <v>4.0000000000000001E-3</v>
      </c>
      <c r="G62" s="34">
        <v>6.79</v>
      </c>
      <c r="J62" s="15">
        <f t="shared" ref="J62:J68" si="7">G62*F62</f>
        <v>2.716E-2</v>
      </c>
    </row>
    <row r="63" spans="2:10" ht="15.75" x14ac:dyDescent="0.25">
      <c r="B63" s="26" t="s">
        <v>46</v>
      </c>
      <c r="C63" s="19" t="s">
        <v>60</v>
      </c>
      <c r="D63" s="23" t="s">
        <v>61</v>
      </c>
      <c r="E63" s="21" t="s">
        <v>59</v>
      </c>
      <c r="F63" s="21">
        <v>5.7999999999999996E-3</v>
      </c>
      <c r="G63" s="34">
        <v>21.0245</v>
      </c>
      <c r="J63" s="15">
        <f t="shared" si="7"/>
        <v>0.12194209999999998</v>
      </c>
    </row>
    <row r="64" spans="2:10" ht="15.75" x14ac:dyDescent="0.25">
      <c r="B64" s="26" t="s">
        <v>46</v>
      </c>
      <c r="C64" s="19" t="s">
        <v>102</v>
      </c>
      <c r="D64" s="23" t="s">
        <v>103</v>
      </c>
      <c r="E64" s="21" t="s">
        <v>69</v>
      </c>
      <c r="F64" s="21">
        <v>1.6999999999999999E-3</v>
      </c>
      <c r="G64" s="27">
        <v>127.28</v>
      </c>
      <c r="J64" s="15">
        <f t="shared" si="7"/>
        <v>0.21637599999999999</v>
      </c>
    </row>
    <row r="65" spans="2:10" ht="15.75" x14ac:dyDescent="0.25">
      <c r="B65" s="26" t="s">
        <v>46</v>
      </c>
      <c r="C65" s="19" t="s">
        <v>102</v>
      </c>
      <c r="D65" s="35" t="s">
        <v>104</v>
      </c>
      <c r="E65" s="21" t="s">
        <v>69</v>
      </c>
      <c r="F65" s="21">
        <v>4.1000000000000003E-3</v>
      </c>
      <c r="G65" s="27">
        <v>42.18</v>
      </c>
      <c r="J65" s="15">
        <f t="shared" si="7"/>
        <v>0.17293800000000001</v>
      </c>
    </row>
    <row r="66" spans="2:10" ht="15.75" x14ac:dyDescent="0.25">
      <c r="B66" s="26" t="s">
        <v>67</v>
      </c>
      <c r="C66" s="19">
        <v>83362</v>
      </c>
      <c r="D66" s="23" t="s">
        <v>105</v>
      </c>
      <c r="E66" s="21" t="s">
        <v>79</v>
      </c>
      <c r="F66" s="21">
        <v>1E-3</v>
      </c>
      <c r="G66" s="34">
        <v>275.25</v>
      </c>
      <c r="J66" s="15">
        <f t="shared" si="7"/>
        <v>0.27524999999999999</v>
      </c>
    </row>
    <row r="67" spans="2:10" ht="15.75" x14ac:dyDescent="0.25">
      <c r="B67" s="26" t="s">
        <v>67</v>
      </c>
      <c r="C67" s="19">
        <v>91486</v>
      </c>
      <c r="D67" s="23" t="s">
        <v>105</v>
      </c>
      <c r="E67" s="21" t="s">
        <v>80</v>
      </c>
      <c r="F67" s="21">
        <v>4.8999999999999998E-3</v>
      </c>
      <c r="G67" s="34">
        <v>72.2</v>
      </c>
      <c r="J67" s="15">
        <f t="shared" si="7"/>
        <v>0.35377999999999998</v>
      </c>
    </row>
    <row r="68" spans="2:10" ht="15.75" x14ac:dyDescent="0.25">
      <c r="B68" s="26" t="s">
        <v>106</v>
      </c>
      <c r="C68" s="19">
        <v>1</v>
      </c>
      <c r="D68" s="23" t="s">
        <v>121</v>
      </c>
      <c r="E68" s="21" t="s">
        <v>56</v>
      </c>
      <c r="F68" s="21">
        <v>1.2</v>
      </c>
      <c r="G68" s="34">
        <f>Cotação!F9</f>
        <v>6.3550000000000004</v>
      </c>
      <c r="J68" s="15">
        <f t="shared" si="7"/>
        <v>7.6260000000000003</v>
      </c>
    </row>
    <row r="69" spans="2:10" ht="15.75" x14ac:dyDescent="0.25">
      <c r="B69" s="28"/>
      <c r="C69" s="29"/>
      <c r="D69" s="29"/>
      <c r="E69" s="29"/>
      <c r="F69" s="29"/>
      <c r="G69" s="30"/>
    </row>
    <row r="70" spans="2:10" ht="15.75" x14ac:dyDescent="0.25">
      <c r="B70" s="24" t="s">
        <v>43</v>
      </c>
      <c r="C70" s="18">
        <v>9</v>
      </c>
      <c r="D70" s="22" t="s">
        <v>122</v>
      </c>
      <c r="E70" s="18" t="s">
        <v>45</v>
      </c>
      <c r="F70" s="22"/>
      <c r="G70" s="25">
        <f>SUM(J71:J76)</f>
        <v>2.6483530000000002</v>
      </c>
    </row>
    <row r="71" spans="2:10" ht="15.75" x14ac:dyDescent="0.25">
      <c r="B71" s="26" t="s">
        <v>46</v>
      </c>
      <c r="C71" s="19" t="s">
        <v>60</v>
      </c>
      <c r="D71" s="23" t="s">
        <v>61</v>
      </c>
      <c r="E71" s="21" t="s">
        <v>59</v>
      </c>
      <c r="F71" s="21">
        <v>6.4999999999999997E-3</v>
      </c>
      <c r="G71" s="34">
        <v>19.37</v>
      </c>
      <c r="J71" s="15">
        <f>G71*F71</f>
        <v>0.12590499999999999</v>
      </c>
    </row>
    <row r="72" spans="2:10" ht="15.75" x14ac:dyDescent="0.25">
      <c r="B72" s="26" t="s">
        <v>46</v>
      </c>
      <c r="C72" s="19" t="s">
        <v>102</v>
      </c>
      <c r="D72" s="23" t="s">
        <v>103</v>
      </c>
      <c r="E72" s="21" t="s">
        <v>69</v>
      </c>
      <c r="F72" s="21">
        <v>2.0000000000000001E-4</v>
      </c>
      <c r="G72" s="27">
        <v>127.28</v>
      </c>
      <c r="J72" s="15">
        <f t="shared" ref="J72:J76" si="8">G72*F72</f>
        <v>2.5456000000000003E-2</v>
      </c>
    </row>
    <row r="73" spans="2:10" ht="15.75" x14ac:dyDescent="0.25">
      <c r="B73" s="26" t="s">
        <v>46</v>
      </c>
      <c r="C73" s="19" t="s">
        <v>102</v>
      </c>
      <c r="D73" s="35" t="s">
        <v>104</v>
      </c>
      <c r="E73" s="21" t="s">
        <v>69</v>
      </c>
      <c r="F73" s="21">
        <v>8.9999999999999998E-4</v>
      </c>
      <c r="G73" s="27">
        <v>42.18</v>
      </c>
      <c r="J73" s="15">
        <f t="shared" si="8"/>
        <v>3.7961999999999996E-2</v>
      </c>
    </row>
    <row r="74" spans="2:10" ht="15.75" x14ac:dyDescent="0.25">
      <c r="B74" s="26" t="s">
        <v>67</v>
      </c>
      <c r="C74" s="19">
        <v>83362</v>
      </c>
      <c r="D74" s="23" t="s">
        <v>105</v>
      </c>
      <c r="E74" s="21" t="s">
        <v>79</v>
      </c>
      <c r="F74" s="21">
        <v>1E-3</v>
      </c>
      <c r="G74" s="34">
        <v>275.25</v>
      </c>
      <c r="J74" s="15">
        <f t="shared" si="8"/>
        <v>0.27524999999999999</v>
      </c>
    </row>
    <row r="75" spans="2:10" ht="15.75" x14ac:dyDescent="0.25">
      <c r="B75" s="26" t="s">
        <v>67</v>
      </c>
      <c r="C75" s="19">
        <v>91486</v>
      </c>
      <c r="D75" s="23" t="s">
        <v>105</v>
      </c>
      <c r="E75" s="21" t="s">
        <v>80</v>
      </c>
      <c r="F75" s="21">
        <v>4.8999999999999998E-3</v>
      </c>
      <c r="G75" s="34">
        <v>72.2</v>
      </c>
      <c r="J75" s="15">
        <f t="shared" si="8"/>
        <v>0.35377999999999998</v>
      </c>
    </row>
    <row r="76" spans="2:10" ht="15.75" x14ac:dyDescent="0.25">
      <c r="B76" s="26" t="s">
        <v>106</v>
      </c>
      <c r="C76" s="19">
        <v>2</v>
      </c>
      <c r="D76" s="23" t="s">
        <v>125</v>
      </c>
      <c r="E76" s="21" t="s">
        <v>56</v>
      </c>
      <c r="F76" s="21">
        <v>0.5</v>
      </c>
      <c r="G76" s="34">
        <f>Cotação!F14</f>
        <v>3.66</v>
      </c>
      <c r="J76" s="15">
        <f t="shared" si="8"/>
        <v>1.83</v>
      </c>
    </row>
    <row r="77" spans="2:10" ht="15.75" x14ac:dyDescent="0.25">
      <c r="B77" s="79"/>
      <c r="C77" s="78"/>
      <c r="D77" s="35"/>
      <c r="E77" s="33"/>
      <c r="F77" s="33"/>
      <c r="G77" s="80"/>
    </row>
    <row r="78" spans="2:10" ht="15.75" x14ac:dyDescent="0.25">
      <c r="B78" s="24" t="s">
        <v>43</v>
      </c>
      <c r="C78" s="18">
        <v>10</v>
      </c>
      <c r="D78" s="22" t="s">
        <v>153</v>
      </c>
      <c r="E78" s="18" t="s">
        <v>49</v>
      </c>
      <c r="F78" s="22"/>
      <c r="G78" s="25">
        <f>SUM(J79:J82)</f>
        <v>157.77589380000001</v>
      </c>
    </row>
    <row r="79" spans="2:10" ht="15" customHeight="1" x14ac:dyDescent="0.25">
      <c r="B79" s="26" t="s">
        <v>46</v>
      </c>
      <c r="C79" s="19" t="s">
        <v>60</v>
      </c>
      <c r="D79" s="23" t="s">
        <v>61</v>
      </c>
      <c r="E79" s="21" t="s">
        <v>59</v>
      </c>
      <c r="F79" s="21">
        <v>0.2</v>
      </c>
      <c r="G79" s="34">
        <v>19.37</v>
      </c>
      <c r="J79" s="15">
        <f>F79*G79</f>
        <v>3.8740000000000006</v>
      </c>
    </row>
    <row r="80" spans="2:10" ht="15" customHeight="1" x14ac:dyDescent="0.25">
      <c r="B80" s="26" t="s">
        <v>67</v>
      </c>
      <c r="C80" s="19">
        <v>95567</v>
      </c>
      <c r="D80" s="23" t="s">
        <v>154</v>
      </c>
      <c r="E80" s="21" t="s">
        <v>49</v>
      </c>
      <c r="F80" s="21">
        <v>1</v>
      </c>
      <c r="G80" s="27">
        <v>82.31</v>
      </c>
      <c r="J80" s="15">
        <f>F80*G80</f>
        <v>82.31</v>
      </c>
    </row>
    <row r="81" spans="2:10" ht="15" customHeight="1" x14ac:dyDescent="0.25">
      <c r="B81" s="26" t="s">
        <v>46</v>
      </c>
      <c r="C81" s="19" t="s">
        <v>164</v>
      </c>
      <c r="D81" s="23" t="s">
        <v>165</v>
      </c>
      <c r="E81" s="21" t="s">
        <v>59</v>
      </c>
      <c r="F81" s="21">
        <v>0.2</v>
      </c>
      <c r="G81" s="27">
        <v>24.8</v>
      </c>
    </row>
    <row r="82" spans="2:10" ht="15" customHeight="1" x14ac:dyDescent="0.25">
      <c r="B82" s="26" t="s">
        <v>43</v>
      </c>
      <c r="C82" s="19">
        <v>11</v>
      </c>
      <c r="D82" s="23" t="s">
        <v>155</v>
      </c>
      <c r="E82" s="21" t="s">
        <v>161</v>
      </c>
      <c r="F82" s="21">
        <v>0.6</v>
      </c>
      <c r="G82" s="27">
        <f>G84</f>
        <v>119.31982299999999</v>
      </c>
      <c r="J82" s="15">
        <f>F82*G82</f>
        <v>71.591893799999994</v>
      </c>
    </row>
    <row r="83" spans="2:10" ht="15" customHeight="1" x14ac:dyDescent="0.25">
      <c r="B83" s="28"/>
      <c r="C83" s="29"/>
      <c r="D83" s="29"/>
      <c r="E83" s="29"/>
      <c r="F83" s="29"/>
      <c r="G83" s="30"/>
    </row>
    <row r="84" spans="2:10" ht="15.75" x14ac:dyDescent="0.25">
      <c r="B84" s="24" t="s">
        <v>43</v>
      </c>
      <c r="C84" s="18">
        <v>11</v>
      </c>
      <c r="D84" s="22" t="s">
        <v>155</v>
      </c>
      <c r="E84" s="18" t="s">
        <v>45</v>
      </c>
      <c r="F84" s="22"/>
      <c r="G84" s="25">
        <f>SUM(J85:J93)</f>
        <v>119.31982299999999</v>
      </c>
    </row>
    <row r="85" spans="2:10" ht="25.5" customHeight="1" x14ac:dyDescent="0.25">
      <c r="B85" s="26" t="s">
        <v>156</v>
      </c>
      <c r="C85" s="19">
        <v>2692</v>
      </c>
      <c r="D85" s="23" t="s">
        <v>157</v>
      </c>
      <c r="E85" s="21" t="s">
        <v>89</v>
      </c>
      <c r="F85" s="21">
        <v>1.6999999999999999E-3</v>
      </c>
      <c r="G85" s="34">
        <v>7.02</v>
      </c>
      <c r="J85" s="15">
        <f>F85*G85</f>
        <v>1.1933999999999998E-2</v>
      </c>
    </row>
    <row r="86" spans="2:10" ht="15.75" x14ac:dyDescent="0.25">
      <c r="B86" s="26" t="s">
        <v>156</v>
      </c>
      <c r="C86" s="19">
        <v>4509</v>
      </c>
      <c r="D86" s="23" t="s">
        <v>159</v>
      </c>
      <c r="E86" s="21" t="s">
        <v>49</v>
      </c>
      <c r="F86" s="21">
        <v>0.25</v>
      </c>
      <c r="G86" s="34">
        <v>4.12</v>
      </c>
      <c r="J86" s="15">
        <f t="shared" ref="J86:J93" si="9">F86*G86</f>
        <v>1.03</v>
      </c>
    </row>
    <row r="87" spans="2:10" ht="15.75" x14ac:dyDescent="0.25">
      <c r="B87" s="26" t="s">
        <v>156</v>
      </c>
      <c r="C87" s="19">
        <v>4517</v>
      </c>
      <c r="D87" s="23" t="s">
        <v>158</v>
      </c>
      <c r="E87" s="21" t="s">
        <v>49</v>
      </c>
      <c r="F87" s="21">
        <v>0.2</v>
      </c>
      <c r="G87" s="34">
        <v>2.84</v>
      </c>
      <c r="J87" s="15">
        <f t="shared" si="9"/>
        <v>0.56799999999999995</v>
      </c>
    </row>
    <row r="88" spans="2:10" ht="15.75" x14ac:dyDescent="0.25">
      <c r="B88" s="26" t="s">
        <v>46</v>
      </c>
      <c r="C88" s="19" t="s">
        <v>54</v>
      </c>
      <c r="D88" s="23" t="s">
        <v>181</v>
      </c>
      <c r="E88" s="21" t="s">
        <v>56</v>
      </c>
      <c r="F88" s="21">
        <v>2.4E-2</v>
      </c>
      <c r="G88" s="27">
        <v>15.87</v>
      </c>
      <c r="J88" s="15">
        <f t="shared" si="9"/>
        <v>0.38088</v>
      </c>
    </row>
    <row r="89" spans="2:10" ht="15.75" x14ac:dyDescent="0.25">
      <c r="B89" s="26" t="s">
        <v>156</v>
      </c>
      <c r="C89" s="19">
        <v>7156</v>
      </c>
      <c r="D89" s="35" t="s">
        <v>160</v>
      </c>
      <c r="E89" s="21" t="s">
        <v>161</v>
      </c>
      <c r="F89" s="21">
        <v>1.0815999999999999</v>
      </c>
      <c r="G89" s="27">
        <v>26.76</v>
      </c>
      <c r="J89" s="15">
        <f t="shared" si="9"/>
        <v>28.943615999999999</v>
      </c>
    </row>
    <row r="90" spans="2:10" ht="15.75" x14ac:dyDescent="0.25">
      <c r="B90" s="26" t="s">
        <v>46</v>
      </c>
      <c r="C90" s="19" t="s">
        <v>57</v>
      </c>
      <c r="D90" s="23" t="s">
        <v>58</v>
      </c>
      <c r="E90" s="21" t="s">
        <v>59</v>
      </c>
      <c r="F90" s="21">
        <v>0.13009999999999999</v>
      </c>
      <c r="G90" s="34">
        <v>24.83</v>
      </c>
      <c r="J90" s="15">
        <f t="shared" si="9"/>
        <v>3.2303829999999998</v>
      </c>
    </row>
    <row r="91" spans="2:10" ht="15.75" x14ac:dyDescent="0.25">
      <c r="B91" s="26" t="s">
        <v>46</v>
      </c>
      <c r="C91" s="19" t="s">
        <v>164</v>
      </c>
      <c r="D91" s="23" t="s">
        <v>165</v>
      </c>
      <c r="E91" s="21" t="s">
        <v>59</v>
      </c>
      <c r="F91" s="21">
        <v>0.18820000000000001</v>
      </c>
      <c r="G91" s="34">
        <v>24.8</v>
      </c>
      <c r="J91" s="15">
        <f t="shared" si="9"/>
        <v>4.6673600000000004</v>
      </c>
    </row>
    <row r="92" spans="2:10" ht="15.75" x14ac:dyDescent="0.25">
      <c r="B92" s="26" t="s">
        <v>46</v>
      </c>
      <c r="C92" s="19" t="s">
        <v>60</v>
      </c>
      <c r="D92" s="23" t="s">
        <v>166</v>
      </c>
      <c r="E92" s="21" t="s">
        <v>59</v>
      </c>
      <c r="F92" s="21">
        <v>0.2</v>
      </c>
      <c r="G92" s="34">
        <v>19.37</v>
      </c>
      <c r="J92" s="15">
        <f t="shared" si="9"/>
        <v>3.8740000000000006</v>
      </c>
    </row>
    <row r="93" spans="2:10" ht="15.75" x14ac:dyDescent="0.25">
      <c r="B93" s="26" t="s">
        <v>162</v>
      </c>
      <c r="C93" s="19">
        <v>94964</v>
      </c>
      <c r="D93" s="23" t="s">
        <v>163</v>
      </c>
      <c r="E93" s="21" t="s">
        <v>63</v>
      </c>
      <c r="F93" s="21">
        <v>0.14499999999999999</v>
      </c>
      <c r="G93" s="34">
        <v>528.37</v>
      </c>
      <c r="J93" s="15">
        <f t="shared" si="9"/>
        <v>76.613649999999993</v>
      </c>
    </row>
    <row r="97" spans="4:4" ht="15.75" x14ac:dyDescent="0.25">
      <c r="D97" s="81" t="s">
        <v>202</v>
      </c>
    </row>
    <row r="98" spans="4:4" x14ac:dyDescent="0.25">
      <c r="D98" s="92" t="s">
        <v>190</v>
      </c>
    </row>
  </sheetData>
  <mergeCells count="4">
    <mergeCell ref="B2:G3"/>
    <mergeCell ref="B4:D5"/>
    <mergeCell ref="E4:F5"/>
    <mergeCell ref="G4:G5"/>
  </mergeCells>
  <pageMargins left="0.23622047244094488" right="0.23622047244094488" top="0.74803149606299213" bottom="0.74803149606299213" header="0.31496062992125984" footer="0.31496062992125984"/>
  <pageSetup paperSize="9" scale="4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6"/>
  <sheetViews>
    <sheetView workbookViewId="0">
      <selection activeCell="K27" sqref="K27"/>
    </sheetView>
  </sheetViews>
  <sheetFormatPr defaultRowHeight="15" x14ac:dyDescent="0.25"/>
  <cols>
    <col min="1" max="1" width="9.140625" style="91"/>
    <col min="2" max="2" width="18.140625" style="91" customWidth="1"/>
    <col min="3" max="3" width="19.7109375" style="91" customWidth="1"/>
    <col min="4" max="4" width="45.7109375" style="91" customWidth="1"/>
    <col min="5" max="5" width="9.28515625" style="91" bestFit="1" customWidth="1"/>
    <col min="6" max="6" width="9.140625" style="91"/>
    <col min="7" max="7" width="10.7109375" style="91" bestFit="1" customWidth="1"/>
    <col min="8" max="16384" width="9.140625" style="91"/>
  </cols>
  <sheetData>
    <row r="2" spans="2:7" ht="15.75" thickBot="1" x14ac:dyDescent="0.3"/>
    <row r="3" spans="2:7" x14ac:dyDescent="0.25">
      <c r="B3" s="176" t="s">
        <v>203</v>
      </c>
      <c r="C3" s="177"/>
      <c r="D3" s="177"/>
      <c r="E3" s="177"/>
      <c r="F3" s="177"/>
      <c r="G3" s="178"/>
    </row>
    <row r="4" spans="2:7" x14ac:dyDescent="0.25">
      <c r="B4" s="179"/>
      <c r="C4" s="180"/>
      <c r="D4" s="180"/>
      <c r="E4" s="180"/>
      <c r="F4" s="180"/>
      <c r="G4" s="181"/>
    </row>
    <row r="5" spans="2:7" x14ac:dyDescent="0.25">
      <c r="B5" s="182" t="s">
        <v>201</v>
      </c>
      <c r="C5" s="183"/>
      <c r="D5" s="184"/>
      <c r="E5" s="188" t="s">
        <v>129</v>
      </c>
      <c r="F5" s="189"/>
      <c r="G5" s="191">
        <v>45120</v>
      </c>
    </row>
    <row r="6" spans="2:7" ht="15.75" thickBot="1" x14ac:dyDescent="0.3">
      <c r="B6" s="185"/>
      <c r="C6" s="186"/>
      <c r="D6" s="187"/>
      <c r="E6" s="190"/>
      <c r="F6" s="137"/>
      <c r="G6" s="192"/>
    </row>
    <row r="7" spans="2:7" x14ac:dyDescent="0.25">
      <c r="B7" s="98"/>
      <c r="C7" s="99"/>
      <c r="D7" s="99"/>
      <c r="E7" s="99"/>
      <c r="F7" s="99"/>
      <c r="G7" s="100"/>
    </row>
    <row r="8" spans="2:7" ht="15.75" customHeight="1" x14ac:dyDescent="0.25">
      <c r="B8" s="70" t="s">
        <v>107</v>
      </c>
      <c r="C8" s="84" t="s">
        <v>108</v>
      </c>
      <c r="D8" s="69" t="s">
        <v>109</v>
      </c>
      <c r="E8" s="84" t="s">
        <v>110</v>
      </c>
      <c r="F8" s="200" t="s">
        <v>111</v>
      </c>
      <c r="G8" s="201"/>
    </row>
    <row r="9" spans="2:7" ht="15.75" customHeight="1" x14ac:dyDescent="0.25">
      <c r="B9" s="70" t="s">
        <v>106</v>
      </c>
      <c r="C9" s="68" t="s">
        <v>112</v>
      </c>
      <c r="D9" s="67" t="s">
        <v>113</v>
      </c>
      <c r="E9" s="65" t="s">
        <v>56</v>
      </c>
      <c r="F9" s="208">
        <f>(F11+F12)/2</f>
        <v>6.3550000000000004</v>
      </c>
      <c r="G9" s="209"/>
    </row>
    <row r="10" spans="2:7" ht="15.75" customHeight="1" x14ac:dyDescent="0.25">
      <c r="B10" s="71"/>
      <c r="C10" s="83" t="s">
        <v>119</v>
      </c>
      <c r="D10" s="205" t="s">
        <v>115</v>
      </c>
      <c r="E10" s="205"/>
      <c r="F10" s="206" t="s">
        <v>116</v>
      </c>
      <c r="G10" s="207"/>
    </row>
    <row r="11" spans="2:7" ht="15.75" customHeight="1" x14ac:dyDescent="0.25">
      <c r="B11" s="71"/>
      <c r="C11" s="77" t="s">
        <v>120</v>
      </c>
      <c r="D11" s="197" t="s">
        <v>117</v>
      </c>
      <c r="E11" s="197"/>
      <c r="F11" s="198">
        <v>6.88</v>
      </c>
      <c r="G11" s="199"/>
    </row>
    <row r="12" spans="2:7" ht="15.75" customHeight="1" x14ac:dyDescent="0.25">
      <c r="B12" s="71"/>
      <c r="C12" s="77"/>
      <c r="D12" s="197" t="s">
        <v>118</v>
      </c>
      <c r="E12" s="197"/>
      <c r="F12" s="198">
        <v>5.83</v>
      </c>
      <c r="G12" s="199"/>
    </row>
    <row r="13" spans="2:7" ht="15.75" customHeight="1" x14ac:dyDescent="0.25">
      <c r="B13" s="97"/>
      <c r="G13" s="101"/>
    </row>
    <row r="14" spans="2:7" ht="15.75" customHeight="1" x14ac:dyDescent="0.25">
      <c r="B14" s="70" t="s">
        <v>106</v>
      </c>
      <c r="C14" s="68" t="s">
        <v>123</v>
      </c>
      <c r="D14" s="67" t="s">
        <v>124</v>
      </c>
      <c r="E14" s="65" t="s">
        <v>56</v>
      </c>
      <c r="F14" s="208">
        <f>(F16+F17)/2</f>
        <v>3.66</v>
      </c>
      <c r="G14" s="209"/>
    </row>
    <row r="15" spans="2:7" ht="15.75" customHeight="1" x14ac:dyDescent="0.25">
      <c r="B15" s="72"/>
      <c r="C15" s="85" t="s">
        <v>114</v>
      </c>
      <c r="D15" s="202" t="s">
        <v>115</v>
      </c>
      <c r="E15" s="202"/>
      <c r="F15" s="203" t="s">
        <v>116</v>
      </c>
      <c r="G15" s="204"/>
    </row>
    <row r="16" spans="2:7" ht="15.75" customHeight="1" x14ac:dyDescent="0.25">
      <c r="B16" s="72"/>
      <c r="C16" s="77" t="s">
        <v>120</v>
      </c>
      <c r="D16" s="197" t="s">
        <v>117</v>
      </c>
      <c r="E16" s="197"/>
      <c r="F16" s="198">
        <v>4.18</v>
      </c>
      <c r="G16" s="199"/>
    </row>
    <row r="17" spans="2:7" ht="15.75" customHeight="1" x14ac:dyDescent="0.25">
      <c r="B17" s="72"/>
      <c r="C17" s="77"/>
      <c r="D17" s="197" t="s">
        <v>118</v>
      </c>
      <c r="E17" s="197"/>
      <c r="F17" s="198">
        <v>3.14</v>
      </c>
      <c r="G17" s="199"/>
    </row>
    <row r="18" spans="2:7" ht="15.75" customHeight="1" thickBot="1" x14ac:dyDescent="0.3">
      <c r="B18" s="102"/>
      <c r="C18" s="103"/>
      <c r="D18" s="103"/>
      <c r="E18" s="103"/>
      <c r="F18" s="103"/>
      <c r="G18" s="104"/>
    </row>
    <row r="19" spans="2:7" ht="15.75" customHeight="1" x14ac:dyDescent="0.25">
      <c r="B19" s="193"/>
      <c r="C19" s="194"/>
      <c r="D19" s="194"/>
      <c r="E19" s="194"/>
      <c r="F19" s="194"/>
      <c r="G19" s="195"/>
    </row>
    <row r="20" spans="2:7" x14ac:dyDescent="0.25">
      <c r="B20" s="134"/>
      <c r="C20" s="135"/>
      <c r="D20" s="135"/>
      <c r="E20" s="135"/>
      <c r="F20" s="135"/>
      <c r="G20" s="196"/>
    </row>
    <row r="21" spans="2:7" x14ac:dyDescent="0.25">
      <c r="B21" s="138" t="s">
        <v>202</v>
      </c>
      <c r="C21" s="139"/>
      <c r="D21" s="139"/>
      <c r="E21" s="139"/>
      <c r="F21" s="139"/>
      <c r="G21" s="210"/>
    </row>
    <row r="22" spans="2:7" ht="15.75" thickBot="1" x14ac:dyDescent="0.3">
      <c r="B22" s="136" t="s">
        <v>190</v>
      </c>
      <c r="C22" s="137"/>
      <c r="D22" s="137"/>
      <c r="E22" s="137"/>
      <c r="F22" s="137"/>
      <c r="G22" s="192"/>
    </row>
    <row r="23" spans="2:7" x14ac:dyDescent="0.25">
      <c r="B23" s="211"/>
      <c r="C23" s="212"/>
      <c r="D23" s="212"/>
      <c r="E23" s="212"/>
      <c r="F23" s="212"/>
      <c r="G23" s="213"/>
    </row>
    <row r="24" spans="2:7" x14ac:dyDescent="0.25">
      <c r="B24" s="214"/>
      <c r="C24" s="215"/>
      <c r="D24" s="215"/>
      <c r="E24" s="215"/>
      <c r="F24" s="215"/>
      <c r="G24" s="216"/>
    </row>
    <row r="25" spans="2:7" x14ac:dyDescent="0.25">
      <c r="B25" s="134" t="s">
        <v>189</v>
      </c>
      <c r="C25" s="135"/>
      <c r="D25" s="135"/>
      <c r="E25" s="135"/>
      <c r="F25" s="135"/>
      <c r="G25" s="196"/>
    </row>
    <row r="26" spans="2:7" ht="15.75" thickBot="1" x14ac:dyDescent="0.3">
      <c r="B26" s="136" t="s">
        <v>187</v>
      </c>
      <c r="C26" s="137"/>
      <c r="D26" s="137"/>
      <c r="E26" s="137"/>
      <c r="F26" s="137"/>
      <c r="G26" s="192"/>
    </row>
  </sheetData>
  <mergeCells count="25">
    <mergeCell ref="D10:E10"/>
    <mergeCell ref="F10:G10"/>
    <mergeCell ref="F9:G9"/>
    <mergeCell ref="F14:G14"/>
    <mergeCell ref="B26:G26"/>
    <mergeCell ref="B21:G21"/>
    <mergeCell ref="B22:G22"/>
    <mergeCell ref="B23:G24"/>
    <mergeCell ref="B25:G25"/>
    <mergeCell ref="B3:G4"/>
    <mergeCell ref="B5:D6"/>
    <mergeCell ref="E5:F6"/>
    <mergeCell ref="G5:G6"/>
    <mergeCell ref="B19:G20"/>
    <mergeCell ref="D17:E17"/>
    <mergeCell ref="F17:G17"/>
    <mergeCell ref="F12:G12"/>
    <mergeCell ref="F8:G8"/>
    <mergeCell ref="D15:E15"/>
    <mergeCell ref="F15:G15"/>
    <mergeCell ref="D16:E16"/>
    <mergeCell ref="F16:G16"/>
    <mergeCell ref="D11:E11"/>
    <mergeCell ref="F11:G11"/>
    <mergeCell ref="D12:E12"/>
  </mergeCells>
  <pageMargins left="0.511811024" right="0.511811024" top="0.78740157499999996" bottom="0.78740157499999996" header="0.31496062000000002" footer="0.31496062000000002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workbookViewId="0">
      <selection activeCell="M12" sqref="M12"/>
    </sheetView>
  </sheetViews>
  <sheetFormatPr defaultRowHeight="15" x14ac:dyDescent="0.25"/>
  <cols>
    <col min="1" max="1" width="9.140625" style="91"/>
    <col min="2" max="2" width="10" style="91" bestFit="1" customWidth="1"/>
    <col min="3" max="3" width="31" style="91" bestFit="1" customWidth="1"/>
    <col min="4" max="4" width="22.42578125" style="91" bestFit="1" customWidth="1"/>
    <col min="5" max="5" width="14.7109375" style="91" customWidth="1"/>
    <col min="6" max="6" width="10.42578125" style="91" bestFit="1" customWidth="1"/>
    <col min="7" max="7" width="14.28515625" style="91" bestFit="1" customWidth="1"/>
    <col min="8" max="8" width="14.28515625" style="91" customWidth="1"/>
    <col min="9" max="9" width="15.85546875" style="91" bestFit="1" customWidth="1"/>
    <col min="10" max="10" width="10.42578125" style="91" bestFit="1" customWidth="1"/>
    <col min="11" max="11" width="15.85546875" style="91" bestFit="1" customWidth="1"/>
    <col min="12" max="12" width="10.42578125" style="91" bestFit="1" customWidth="1"/>
    <col min="13" max="13" width="15.85546875" style="91" bestFit="1" customWidth="1"/>
    <col min="14" max="16384" width="9.140625" style="91"/>
  </cols>
  <sheetData>
    <row r="1" spans="2:13" ht="15.75" thickBot="1" x14ac:dyDescent="0.3"/>
    <row r="2" spans="2:13" ht="18" thickBot="1" x14ac:dyDescent="0.3">
      <c r="B2" s="140" t="s">
        <v>137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2"/>
    </row>
    <row r="3" spans="2:13" ht="15.75" x14ac:dyDescent="0.25">
      <c r="B3" s="143" t="s">
        <v>132</v>
      </c>
      <c r="C3" s="144"/>
      <c r="D3" s="222" t="s">
        <v>200</v>
      </c>
      <c r="E3" s="222"/>
      <c r="F3" s="222"/>
      <c r="G3" s="222"/>
      <c r="H3" s="222"/>
      <c r="I3" s="222"/>
      <c r="J3" s="222"/>
      <c r="K3" s="222"/>
      <c r="L3" s="222"/>
      <c r="M3" s="133"/>
    </row>
    <row r="4" spans="2:13" ht="15" customHeight="1" x14ac:dyDescent="0.25">
      <c r="B4" s="143" t="s">
        <v>133</v>
      </c>
      <c r="C4" s="144"/>
      <c r="D4" s="222" t="s">
        <v>201</v>
      </c>
      <c r="E4" s="222"/>
      <c r="F4" s="222"/>
      <c r="G4" s="222"/>
      <c r="H4" s="222"/>
      <c r="I4" s="222"/>
      <c r="J4" s="222"/>
      <c r="K4" s="222"/>
      <c r="L4" s="222"/>
      <c r="M4" s="133"/>
    </row>
    <row r="5" spans="2:13" ht="15" customHeight="1" x14ac:dyDescent="0.25">
      <c r="B5" s="38" t="s">
        <v>134</v>
      </c>
      <c r="C5" s="76"/>
      <c r="D5" s="222" t="s">
        <v>204</v>
      </c>
      <c r="E5" s="222"/>
      <c r="F5" s="222"/>
      <c r="G5" s="222"/>
      <c r="H5" s="222"/>
      <c r="I5" s="222"/>
      <c r="J5" s="222"/>
      <c r="K5" s="222"/>
      <c r="L5" s="222"/>
      <c r="M5" s="133"/>
    </row>
    <row r="6" spans="2:13" ht="15" customHeight="1" x14ac:dyDescent="0.25">
      <c r="B6" s="147" t="s">
        <v>136</v>
      </c>
      <c r="C6" s="148"/>
      <c r="D6" s="74">
        <v>0.22</v>
      </c>
      <c r="E6" s="29"/>
      <c r="F6" s="29"/>
      <c r="G6" s="29"/>
      <c r="H6" s="29"/>
      <c r="I6" s="29"/>
      <c r="J6" s="43"/>
      <c r="K6" s="44"/>
      <c r="L6" s="39"/>
      <c r="M6" s="51"/>
    </row>
    <row r="7" spans="2:13" ht="15.75" customHeight="1" thickBot="1" x14ac:dyDescent="0.3">
      <c r="B7" s="145" t="s">
        <v>135</v>
      </c>
      <c r="C7" s="146"/>
      <c r="D7" s="75">
        <f ca="1">TODAY()</f>
        <v>45257</v>
      </c>
      <c r="E7" s="37"/>
      <c r="F7" s="37"/>
      <c r="G7" s="37"/>
      <c r="H7" s="37"/>
      <c r="I7" s="37"/>
      <c r="J7" s="40"/>
      <c r="K7" s="52"/>
      <c r="L7" s="41"/>
      <c r="M7" s="42"/>
    </row>
    <row r="8" spans="2:13" x14ac:dyDescent="0.25">
      <c r="B8" s="97"/>
      <c r="M8" s="101"/>
    </row>
    <row r="9" spans="2:13" x14ac:dyDescent="0.25">
      <c r="B9" s="223" t="s">
        <v>138</v>
      </c>
      <c r="C9" s="225" t="s">
        <v>139</v>
      </c>
      <c r="D9" s="227" t="s">
        <v>140</v>
      </c>
      <c r="E9" s="227" t="s">
        <v>141</v>
      </c>
      <c r="F9" s="219" t="s">
        <v>142</v>
      </c>
      <c r="G9" s="220"/>
      <c r="H9" s="219" t="s">
        <v>143</v>
      </c>
      <c r="I9" s="220"/>
      <c r="J9" s="219" t="s">
        <v>182</v>
      </c>
      <c r="K9" s="220"/>
      <c r="L9" s="219" t="s">
        <v>144</v>
      </c>
      <c r="M9" s="221"/>
    </row>
    <row r="10" spans="2:13" x14ac:dyDescent="0.25">
      <c r="B10" s="224"/>
      <c r="C10" s="226"/>
      <c r="D10" s="228"/>
      <c r="E10" s="228"/>
      <c r="F10" s="105" t="s">
        <v>145</v>
      </c>
      <c r="G10" s="105" t="s">
        <v>146</v>
      </c>
      <c r="H10" s="105" t="s">
        <v>145</v>
      </c>
      <c r="I10" s="105" t="s">
        <v>146</v>
      </c>
      <c r="J10" s="105" t="s">
        <v>145</v>
      </c>
      <c r="K10" s="105" t="s">
        <v>146</v>
      </c>
      <c r="L10" s="105" t="s">
        <v>145</v>
      </c>
      <c r="M10" s="106" t="s">
        <v>146</v>
      </c>
    </row>
    <row r="11" spans="2:13" x14ac:dyDescent="0.25">
      <c r="B11" s="107"/>
      <c r="C11" s="108"/>
      <c r="F11" s="92"/>
      <c r="G11" s="92"/>
      <c r="H11" s="92"/>
      <c r="I11" s="92"/>
      <c r="J11" s="92"/>
      <c r="K11" s="92"/>
      <c r="M11" s="101"/>
    </row>
    <row r="12" spans="2:13" x14ac:dyDescent="0.25">
      <c r="B12" s="109"/>
      <c r="C12" s="110" t="str">
        <f>Orçamento!E12</f>
        <v>SERVIÇOS INICIAIS</v>
      </c>
      <c r="D12" s="111">
        <f>Orçamento!K12</f>
        <v>1245.33</v>
      </c>
      <c r="E12" s="112">
        <f>D12/$D$26</f>
        <v>1.2552540344362344E-3</v>
      </c>
      <c r="F12" s="112">
        <v>1</v>
      </c>
      <c r="G12" s="111">
        <f>ROUND(D12*F12,2)</f>
        <v>1245.33</v>
      </c>
      <c r="H12" s="112">
        <v>0</v>
      </c>
      <c r="I12" s="113">
        <f>ROUND(D12*H12,2)</f>
        <v>0</v>
      </c>
      <c r="J12" s="112">
        <v>0</v>
      </c>
      <c r="K12" s="113">
        <f>ROUND(D12*J12,2)</f>
        <v>0</v>
      </c>
      <c r="L12" s="112">
        <f>F12+J12+H12</f>
        <v>1</v>
      </c>
      <c r="M12" s="114">
        <f>G12+K12+I12</f>
        <v>1245.33</v>
      </c>
    </row>
    <row r="13" spans="2:13" x14ac:dyDescent="0.25">
      <c r="B13" s="109" t="s">
        <v>147</v>
      </c>
      <c r="C13" s="110"/>
      <c r="D13" s="111"/>
      <c r="E13" s="112"/>
      <c r="F13" s="112"/>
      <c r="G13" s="111"/>
      <c r="H13" s="112"/>
      <c r="I13" s="113"/>
      <c r="J13" s="112"/>
      <c r="K13" s="113"/>
      <c r="L13" s="112"/>
      <c r="M13" s="114"/>
    </row>
    <row r="14" spans="2:13" x14ac:dyDescent="0.25">
      <c r="B14" s="115" t="s">
        <v>148</v>
      </c>
      <c r="C14" s="110" t="str">
        <f>Orçamento!E14</f>
        <v>MOBILIZAÇÃO E DESMOBILIZAÇÃO</v>
      </c>
      <c r="D14" s="111">
        <f>Orçamento!K14</f>
        <v>10773.58</v>
      </c>
      <c r="E14" s="112">
        <f t="shared" ref="E14:E24" si="0">D14/$D$26</f>
        <v>1.0859434656132531E-2</v>
      </c>
      <c r="F14" s="112">
        <v>0.5</v>
      </c>
      <c r="G14" s="111">
        <f t="shared" ref="G14:G24" si="1">ROUND(D14*F14,2)</f>
        <v>5386.79</v>
      </c>
      <c r="H14" s="112">
        <v>0</v>
      </c>
      <c r="I14" s="113">
        <f>ROUND(D14*H14,2)</f>
        <v>0</v>
      </c>
      <c r="J14" s="112">
        <v>0.5</v>
      </c>
      <c r="K14" s="113">
        <f t="shared" ref="K14:K24" si="2">ROUND(D14*J14,2)</f>
        <v>5386.79</v>
      </c>
      <c r="L14" s="112">
        <f>F14+J14+H14</f>
        <v>1</v>
      </c>
      <c r="M14" s="114">
        <f>G14+K14+I14</f>
        <v>10773.58</v>
      </c>
    </row>
    <row r="15" spans="2:13" x14ac:dyDescent="0.25">
      <c r="B15" s="115" t="s">
        <v>149</v>
      </c>
      <c r="C15" s="110"/>
      <c r="D15" s="116"/>
      <c r="E15" s="112"/>
      <c r="F15" s="117"/>
      <c r="G15" s="111"/>
      <c r="H15" s="112"/>
      <c r="I15" s="113"/>
      <c r="J15" s="112"/>
      <c r="K15" s="113"/>
      <c r="L15" s="112"/>
      <c r="M15" s="114"/>
    </row>
    <row r="16" spans="2:13" x14ac:dyDescent="0.25">
      <c r="B16" s="115" t="s">
        <v>150</v>
      </c>
      <c r="C16" s="110" t="str">
        <f>Orçamento!E17</f>
        <v>MOVIMENTAÇÃO DE TERRA</v>
      </c>
      <c r="D16" s="111">
        <f>Orçamento!K17</f>
        <v>29800.423200000001</v>
      </c>
      <c r="E16" s="112">
        <f t="shared" si="0"/>
        <v>3.0037902764493876E-2</v>
      </c>
      <c r="F16" s="112">
        <v>1</v>
      </c>
      <c r="G16" s="111">
        <f t="shared" si="1"/>
        <v>29800.42</v>
      </c>
      <c r="H16" s="112">
        <v>0</v>
      </c>
      <c r="I16" s="113">
        <f>ROUND(D16*H16,2)</f>
        <v>0</v>
      </c>
      <c r="J16" s="112">
        <v>0</v>
      </c>
      <c r="K16" s="113">
        <f t="shared" si="2"/>
        <v>0</v>
      </c>
      <c r="L16" s="112">
        <f>F16+J16+H16</f>
        <v>1</v>
      </c>
      <c r="M16" s="114">
        <f>G16+K16+I16</f>
        <v>29800.42</v>
      </c>
    </row>
    <row r="17" spans="2:13" x14ac:dyDescent="0.25">
      <c r="B17" s="118"/>
      <c r="C17" s="110"/>
      <c r="D17" s="116"/>
      <c r="E17" s="112"/>
      <c r="F17" s="117"/>
      <c r="G17" s="111"/>
      <c r="H17" s="112"/>
      <c r="I17" s="113"/>
      <c r="J17" s="112"/>
      <c r="K17" s="113"/>
      <c r="L17" s="112"/>
      <c r="M17" s="114"/>
    </row>
    <row r="18" spans="2:13" x14ac:dyDescent="0.25">
      <c r="B18" s="109"/>
      <c r="C18" s="110" t="str">
        <f>Orçamento!E22</f>
        <v>DRENAGEM</v>
      </c>
      <c r="D18" s="111">
        <f>Orçamento!K22</f>
        <v>42675.14</v>
      </c>
      <c r="E18" s="112">
        <f t="shared" si="0"/>
        <v>4.3015218179222471E-2</v>
      </c>
      <c r="F18" s="112">
        <v>0.1</v>
      </c>
      <c r="G18" s="111">
        <f t="shared" si="1"/>
        <v>4267.51</v>
      </c>
      <c r="H18" s="112">
        <v>0</v>
      </c>
      <c r="I18" s="113">
        <f>ROUND(D18*H18,2)</f>
        <v>0</v>
      </c>
      <c r="J18" s="112">
        <v>0.9</v>
      </c>
      <c r="K18" s="113">
        <f t="shared" si="2"/>
        <v>38407.629999999997</v>
      </c>
      <c r="L18" s="112">
        <f>F18+J18+H18</f>
        <v>1</v>
      </c>
      <c r="M18" s="114">
        <f>G18+K18+I18</f>
        <v>42675.14</v>
      </c>
    </row>
    <row r="19" spans="2:13" x14ac:dyDescent="0.25">
      <c r="B19" s="118"/>
      <c r="C19" s="110"/>
      <c r="D19" s="116"/>
      <c r="E19" s="112"/>
      <c r="F19" s="117"/>
      <c r="G19" s="111"/>
      <c r="H19" s="117"/>
      <c r="I19" s="113"/>
      <c r="J19" s="117"/>
      <c r="K19" s="113"/>
      <c r="L19" s="112"/>
      <c r="M19" s="114"/>
    </row>
    <row r="20" spans="2:13" x14ac:dyDescent="0.25">
      <c r="B20" s="109"/>
      <c r="C20" s="110" t="str">
        <f>Orçamento!E26</f>
        <v>PAVIMENTAÇÃO</v>
      </c>
      <c r="D20" s="111">
        <f>Orçamento!K26</f>
        <v>886679.79399999999</v>
      </c>
      <c r="E20" s="112">
        <f t="shared" si="0"/>
        <v>0.89374574504074356</v>
      </c>
      <c r="F20" s="112">
        <v>0.2</v>
      </c>
      <c r="G20" s="111">
        <f t="shared" si="1"/>
        <v>177335.96</v>
      </c>
      <c r="H20" s="112">
        <v>0.4</v>
      </c>
      <c r="I20" s="113">
        <f>ROUND(D20*H20,2)</f>
        <v>354671.92</v>
      </c>
      <c r="J20" s="112">
        <v>0.4</v>
      </c>
      <c r="K20" s="113">
        <f t="shared" si="2"/>
        <v>354671.92</v>
      </c>
      <c r="L20" s="112">
        <f>F20+J20+H20</f>
        <v>1</v>
      </c>
      <c r="M20" s="114">
        <f>G20+K20+I20</f>
        <v>886679.8</v>
      </c>
    </row>
    <row r="21" spans="2:13" x14ac:dyDescent="0.25">
      <c r="B21" s="118"/>
      <c r="C21" s="110"/>
      <c r="D21" s="116"/>
      <c r="E21" s="112"/>
      <c r="F21" s="117"/>
      <c r="G21" s="111"/>
      <c r="H21" s="117"/>
      <c r="I21" s="113"/>
      <c r="J21" s="117"/>
      <c r="K21" s="113"/>
      <c r="L21" s="112"/>
      <c r="M21" s="114"/>
    </row>
    <row r="22" spans="2:13" x14ac:dyDescent="0.25">
      <c r="B22" s="109"/>
      <c r="C22" s="110" t="str">
        <f>Orçamento!E38</f>
        <v>ONDULAÇÃO TRANSVERSAL</v>
      </c>
      <c r="D22" s="111">
        <f>Orçamento!K38</f>
        <v>8895.6059547546029</v>
      </c>
      <c r="E22" s="112">
        <f t="shared" si="0"/>
        <v>8.9664950362238968E-3</v>
      </c>
      <c r="F22" s="112">
        <v>0</v>
      </c>
      <c r="G22" s="111">
        <f t="shared" si="1"/>
        <v>0</v>
      </c>
      <c r="H22" s="112">
        <v>0</v>
      </c>
      <c r="I22" s="113">
        <f>ROUND(D22*H22,2)</f>
        <v>0</v>
      </c>
      <c r="J22" s="112">
        <v>1</v>
      </c>
      <c r="K22" s="113">
        <f t="shared" si="2"/>
        <v>8895.61</v>
      </c>
      <c r="L22" s="112">
        <f>F22+J22+H22</f>
        <v>1</v>
      </c>
      <c r="M22" s="114">
        <f>G22+K22+I22</f>
        <v>8895.61</v>
      </c>
    </row>
    <row r="23" spans="2:13" x14ac:dyDescent="0.25">
      <c r="B23" s="118"/>
      <c r="C23" s="110"/>
      <c r="D23" s="116"/>
      <c r="E23" s="112"/>
      <c r="F23" s="117"/>
      <c r="G23" s="111"/>
      <c r="H23" s="117"/>
      <c r="I23" s="113"/>
      <c r="J23" s="117"/>
      <c r="K23" s="113"/>
      <c r="L23" s="112"/>
      <c r="M23" s="114"/>
    </row>
    <row r="24" spans="2:13" x14ac:dyDescent="0.25">
      <c r="B24" s="109"/>
      <c r="C24" s="110" t="str">
        <f>Orçamento!E45</f>
        <v>SINALIZAÇÃO</v>
      </c>
      <c r="D24" s="111">
        <f>Orçamento!K45</f>
        <v>12024.13</v>
      </c>
      <c r="E24" s="112">
        <f t="shared" si="0"/>
        <v>1.2119950288747367E-2</v>
      </c>
      <c r="F24" s="112">
        <v>0</v>
      </c>
      <c r="G24" s="111">
        <f t="shared" si="1"/>
        <v>0</v>
      </c>
      <c r="H24" s="112">
        <v>0</v>
      </c>
      <c r="I24" s="113">
        <f>ROUND(D24*H24,2)</f>
        <v>0</v>
      </c>
      <c r="J24" s="112">
        <v>1</v>
      </c>
      <c r="K24" s="113">
        <f t="shared" si="2"/>
        <v>12024.13</v>
      </c>
      <c r="L24" s="112">
        <f>F24+J24+H24</f>
        <v>1</v>
      </c>
      <c r="M24" s="114">
        <f>G24+K24+I24</f>
        <v>12024.13</v>
      </c>
    </row>
    <row r="25" spans="2:13" x14ac:dyDescent="0.25">
      <c r="B25" s="118"/>
      <c r="C25" s="110"/>
      <c r="D25" s="116"/>
      <c r="E25" s="117"/>
      <c r="F25" s="117"/>
      <c r="G25" s="111"/>
      <c r="H25" s="117"/>
      <c r="I25" s="119"/>
      <c r="J25" s="117"/>
      <c r="K25" s="119"/>
      <c r="L25" s="117"/>
      <c r="M25" s="114"/>
    </row>
    <row r="26" spans="2:13" x14ac:dyDescent="0.25">
      <c r="B26" s="217" t="s">
        <v>151</v>
      </c>
      <c r="C26" s="218"/>
      <c r="D26" s="120">
        <f>Orçamento!K11</f>
        <v>992094.00315475464</v>
      </c>
      <c r="E26" s="121">
        <f>SUM(E12:E24)</f>
        <v>1</v>
      </c>
      <c r="F26" s="121">
        <f>G26/D26</f>
        <v>0.21977353890525336</v>
      </c>
      <c r="G26" s="122">
        <f>SUM(G12:G24)</f>
        <v>218036.01</v>
      </c>
      <c r="H26" s="121">
        <f>I26/D26</f>
        <v>0.35749830043542302</v>
      </c>
      <c r="I26" s="122">
        <f>SUM(I12:I24)</f>
        <v>354671.92</v>
      </c>
      <c r="J26" s="121">
        <f>K26/D26</f>
        <v>0.42272816755911868</v>
      </c>
      <c r="K26" s="122">
        <f>SUM(K12:K24)</f>
        <v>419386.07999999996</v>
      </c>
      <c r="L26" s="121">
        <f>F26+J26+H26</f>
        <v>1.0000000068997952</v>
      </c>
      <c r="M26" s="123">
        <f>SUM(M12:M24)</f>
        <v>992094.01</v>
      </c>
    </row>
    <row r="27" spans="2:13" ht="15.75" thickBot="1" x14ac:dyDescent="0.3">
      <c r="B27" s="102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4"/>
    </row>
    <row r="28" spans="2:13" ht="17.25" x14ac:dyDescent="0.25"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4"/>
    </row>
    <row r="29" spans="2:13" ht="17.25" x14ac:dyDescent="0.25"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4"/>
    </row>
    <row r="30" spans="2:13" x14ac:dyDescent="0.25">
      <c r="B30" s="134" t="s">
        <v>184</v>
      </c>
      <c r="C30" s="135"/>
      <c r="D30" s="135"/>
      <c r="E30" s="135"/>
      <c r="F30" s="135"/>
      <c r="G30" s="135"/>
      <c r="H30" s="135"/>
      <c r="I30" s="135"/>
      <c r="J30" s="135"/>
      <c r="K30" s="135"/>
      <c r="L30" s="60"/>
      <c r="M30" s="16"/>
    </row>
    <row r="31" spans="2:13" x14ac:dyDescent="0.25">
      <c r="B31" s="134" t="s">
        <v>185</v>
      </c>
      <c r="C31" s="135"/>
      <c r="D31" s="135"/>
      <c r="E31" s="135"/>
      <c r="F31" s="135"/>
      <c r="G31" s="135"/>
      <c r="H31" s="135"/>
      <c r="I31" s="135"/>
      <c r="J31" s="135"/>
      <c r="K31" s="135"/>
      <c r="L31" s="60"/>
      <c r="M31" s="16"/>
    </row>
    <row r="32" spans="2:13" x14ac:dyDescent="0.25">
      <c r="B32" s="138"/>
      <c r="C32" s="139"/>
      <c r="D32" s="139"/>
      <c r="E32" s="139"/>
      <c r="F32" s="139"/>
      <c r="G32" s="139"/>
      <c r="H32" s="139"/>
      <c r="I32" s="139"/>
      <c r="J32" s="139"/>
      <c r="K32" s="139"/>
      <c r="L32" s="60"/>
      <c r="M32" s="16"/>
    </row>
    <row r="33" spans="2:13" x14ac:dyDescent="0.25"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60"/>
      <c r="M33" s="16"/>
    </row>
    <row r="34" spans="2:13" x14ac:dyDescent="0.25">
      <c r="B34" s="138"/>
      <c r="C34" s="139"/>
      <c r="D34" s="139"/>
      <c r="E34" s="139"/>
      <c r="F34" s="139"/>
      <c r="G34" s="139"/>
      <c r="H34" s="139"/>
      <c r="I34" s="139"/>
      <c r="J34" s="139"/>
      <c r="K34" s="139"/>
      <c r="L34" s="60"/>
      <c r="M34" s="16"/>
    </row>
    <row r="35" spans="2:13" x14ac:dyDescent="0.25">
      <c r="B35" s="134" t="s">
        <v>186</v>
      </c>
      <c r="C35" s="135"/>
      <c r="D35" s="135"/>
      <c r="E35" s="135"/>
      <c r="F35" s="135"/>
      <c r="G35" s="135"/>
      <c r="H35" s="135"/>
      <c r="I35" s="135"/>
      <c r="J35" s="135"/>
      <c r="K35" s="135"/>
      <c r="L35" s="60"/>
      <c r="M35" s="16"/>
    </row>
    <row r="36" spans="2:13" ht="15.75" thickBot="1" x14ac:dyDescent="0.3">
      <c r="B36" s="136" t="s">
        <v>187</v>
      </c>
      <c r="C36" s="137"/>
      <c r="D36" s="137"/>
      <c r="E36" s="137"/>
      <c r="F36" s="137"/>
      <c r="G36" s="137"/>
      <c r="H36" s="137"/>
      <c r="I36" s="137"/>
      <c r="J36" s="137"/>
      <c r="K36" s="137"/>
      <c r="L36" s="61"/>
      <c r="M36" s="17"/>
    </row>
  </sheetData>
  <mergeCells count="22">
    <mergeCell ref="D5:M5"/>
    <mergeCell ref="B6:C6"/>
    <mergeCell ref="B7:C7"/>
    <mergeCell ref="B9:B10"/>
    <mergeCell ref="C9:C10"/>
    <mergeCell ref="D9:D10"/>
    <mergeCell ref="E9:E10"/>
    <mergeCell ref="B2:M2"/>
    <mergeCell ref="B3:C3"/>
    <mergeCell ref="D3:M3"/>
    <mergeCell ref="B4:C4"/>
    <mergeCell ref="D4:M4"/>
    <mergeCell ref="B36:K36"/>
    <mergeCell ref="B26:C26"/>
    <mergeCell ref="F9:G9"/>
    <mergeCell ref="J9:K9"/>
    <mergeCell ref="L9:M9"/>
    <mergeCell ref="H9:I9"/>
    <mergeCell ref="B30:K30"/>
    <mergeCell ref="B31:K31"/>
    <mergeCell ref="B32:K34"/>
    <mergeCell ref="B35:K35"/>
  </mergeCells>
  <pageMargins left="0.511811024" right="0.511811024" top="0.78740157499999996" bottom="0.78740157499999996" header="0.31496062000000002" footer="0.3149606200000000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Orçamento</vt:lpstr>
      <vt:lpstr>Composições</vt:lpstr>
      <vt:lpstr>Cotação</vt:lpstr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São Domingos</cp:lastModifiedBy>
  <cp:lastPrinted>2023-11-27T20:00:37Z</cp:lastPrinted>
  <dcterms:created xsi:type="dcterms:W3CDTF">2023-07-06T12:27:28Z</dcterms:created>
  <dcterms:modified xsi:type="dcterms:W3CDTF">2023-11-27T20:10:50Z</dcterms:modified>
</cp:coreProperties>
</file>